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305327\Documents\Environmental Services proposals\Norfolk Nutrients Opportunity\Calculator\"/>
    </mc:Choice>
  </mc:AlternateContent>
  <xr:revisionPtr revIDLastSave="0" documentId="13_ncr:1_{7E3C8528-F1A8-4D3C-BE3A-07335CB0E426}" xr6:coauthVersionLast="47" xr6:coauthVersionMax="47" xr10:uidLastSave="{00000000-0000-0000-0000-000000000000}"/>
  <workbookProtection workbookAlgorithmName="SHA-512" workbookHashValue="6wqD8Qt0HSxpi5BwkVEog2I7c1mYWnEmWLoBzTmNd526KWnFCHtnyJgWgmCA/YjU/mIh0ufZ8le/4ee7IA0IAw==" workbookSaltValue="OVIDyiIVVQ9Rf5n6LYnR3w==" workbookSpinCount="100000" lockStructure="1"/>
  <bookViews>
    <workbookView xWindow="28680" yWindow="-120" windowWidth="29040" windowHeight="15840" xr2:uid="{BE6BC844-1511-4CC1-AB95-7E453621EEBF}"/>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state="hidden" r:id="rId12"/>
    <sheet name="Rainfall" sheetId="29" r:id="rId13"/>
    <sheet name="Data Tables" sheetId="2" state="hidden" r:id="rId14"/>
    <sheet name="_SSC" sheetId="17" state="veryHidden" r:id="rId15"/>
  </sheets>
  <definedNames>
    <definedName name="_Ctrl_1" hidden="1">Introduction!#REF!</definedName>
    <definedName name="_Ctrl_2" hidden="1">Introduction!$C$174</definedName>
    <definedName name="_Ctrl_3" hidden="1">Introduction!$C$176</definedName>
    <definedName name="_Ctrl_4" hidden="1">Introduction!$C$36</definedName>
    <definedName name="_Ctrl_5" hidden="1">Info!$C$13</definedName>
    <definedName name="_Ctrl_6" hidden="1">Info!$E$8</definedName>
    <definedName name="_Ctrl_65" hidden="1">'Zero value Calc'!#REF!</definedName>
    <definedName name="_Ctrl_7" hidden="1">Info!$E$6</definedName>
    <definedName name="_ctrl_ram_63" localSheetId="11" hidden="1">'Graph Calculations'!#REF!</definedName>
    <definedName name="_ctrl_ram_63" hidden="1">'Zero value Calc'!$K$15</definedName>
    <definedName name="_dep_ram_63" localSheetId="11" hidden="1">'Graph Calculations'!$E$5:$AB$14</definedName>
    <definedName name="_dep_ram_63" hidden="1">'Zero value Calc'!#REF!</definedName>
    <definedName name="No" localSheetId="11">'Graph Calculations'!#REF!</definedName>
    <definedName name="No" localSheetId="10">'Zero value Calc'!#REF!</definedName>
    <definedName name="No">'Stage 4'!#REF!</definedName>
    <definedName name="OsTWs" localSheetId="7">Table3[Treatment type]</definedName>
    <definedName name="OsTWs" localSheetId="8">Table3[Treatment type]</definedName>
    <definedName name="OsTWs">Table3[Treatment type]</definedName>
    <definedName name="permit">'Data Tables'!$B$3:$D$86</definedName>
    <definedName name="permits">'Data Tables'!$B$3:$I$86</definedName>
    <definedName name="permits_2030">Table1[]</definedName>
    <definedName name="_xlnm.Print_Area" localSheetId="13">'Data Tables'!$B$2:$X$24</definedName>
    <definedName name="_xlnm.Print_Area" localSheetId="11">'Graph Calculations'!$B$2:$C$52</definedName>
    <definedName name="_xlnm.Print_Area" localSheetId="1">Info!$B$3:$N$17</definedName>
    <definedName name="_xlnm.Print_Area" localSheetId="0">Introduction!$B$2:$Q$219</definedName>
    <definedName name="_xlnm.Print_Area" localSheetId="6">'Mitigation - current'!$B$2:$AC$89</definedName>
    <definedName name="_xlnm.Print_Area" localSheetId="7">'Mitigation - post 2025'!$B$2:$AA$88</definedName>
    <definedName name="_xlnm.Print_Area" localSheetId="8">'Mitigation - post 2030'!$B$2:$AC$89</definedName>
    <definedName name="_xlnm.Print_Area" localSheetId="9">'Mitigation comparison'!$B$2:$S$17</definedName>
    <definedName name="_xlnm.Print_Area" localSheetId="2">'Stage 1'!$C$2:$AI$64</definedName>
    <definedName name="_xlnm.Print_Area" localSheetId="3">'Stage 2'!$B$2:$T$48</definedName>
    <definedName name="_xlnm.Print_Area" localSheetId="4">'Stage 3'!$B$2:$N$40</definedName>
    <definedName name="_xlnm.Print_Area" localSheetId="5">'Stage 4'!$B$2:$U$60</definedName>
    <definedName name="_xlnm.Print_Area" localSheetId="10">'Zero value Calc'!$B$2:$C$54</definedName>
    <definedName name="_xlnm.Print_Titles" localSheetId="13">'Data Tables'!$2:$2</definedName>
    <definedName name="Taunton">'Data Tables'!#REF!</definedName>
    <definedName name="Unknown">'Data Tables'!#REF!</definedName>
    <definedName name="w">'Data Tables'!$B$10:$B$24</definedName>
    <definedName name="Wastewater">'Data Tables'!$B$3:$B$86</definedName>
    <definedName name="WwTW">'Data Tables'!$B$10:$B$24</definedName>
    <definedName name="WwTWs">'Stage 1'!$E$34</definedName>
    <definedName name="Yes" localSheetId="11">'Graph Calculations'!#REF!</definedName>
    <definedName name="Yes" localSheetId="10">'Zero value Calc'!$I$29</definedName>
    <definedName name="Yes">'Stage 4'!#REF!</definedName>
  </definedNames>
  <calcPr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5" i="4" l="1"/>
  <c r="O35" i="4"/>
  <c r="O34" i="4"/>
  <c r="G6" i="2" l="1"/>
  <c r="G27" i="2"/>
  <c r="G54" i="2"/>
  <c r="G85" i="2"/>
  <c r="G77" i="2"/>
  <c r="G67" i="2"/>
  <c r="D6" i="2"/>
  <c r="D27" i="2"/>
  <c r="D54" i="2"/>
  <c r="D85" i="2" l="1"/>
  <c r="D75" i="2"/>
  <c r="Q28" i="4" l="1"/>
  <c r="Q27" i="4"/>
  <c r="O27" i="4"/>
  <c r="AB59" i="2" l="1"/>
  <c r="F22" i="4" l="1"/>
  <c r="K4" i="2" l="1"/>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3" i="2"/>
  <c r="J3" i="2" l="1"/>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G52" i="2"/>
  <c r="G50" i="2"/>
  <c r="M8" i="14"/>
  <c r="M9" i="14"/>
  <c r="M10" i="14"/>
  <c r="M11" i="14"/>
  <c r="M7" i="14"/>
  <c r="M87" i="30"/>
  <c r="K87" i="30"/>
  <c r="R72" i="30"/>
  <c r="R71" i="30"/>
  <c r="P71" i="30"/>
  <c r="R70" i="30"/>
  <c r="P70" i="30"/>
  <c r="R69" i="30"/>
  <c r="P69" i="30"/>
  <c r="R68" i="30"/>
  <c r="P68" i="30"/>
  <c r="R67" i="30"/>
  <c r="P67" i="30"/>
  <c r="M46" i="30"/>
  <c r="K46" i="30"/>
  <c r="AB44" i="30"/>
  <c r="AA44" i="30"/>
  <c r="K44" i="30"/>
  <c r="E44" i="30"/>
  <c r="T44" i="30" s="1"/>
  <c r="AB43" i="30"/>
  <c r="AA43" i="30"/>
  <c r="T43" i="30"/>
  <c r="K43" i="30"/>
  <c r="E43" i="30"/>
  <c r="AB42" i="30"/>
  <c r="AA42" i="30"/>
  <c r="K42" i="30"/>
  <c r="E42" i="30"/>
  <c r="T42" i="30" s="1"/>
  <c r="AB41" i="30"/>
  <c r="AA41" i="30"/>
  <c r="K41" i="30"/>
  <c r="E41" i="30"/>
  <c r="T41" i="30" s="1"/>
  <c r="AB40" i="30"/>
  <c r="AA40" i="30"/>
  <c r="K40" i="30"/>
  <c r="AB39" i="30"/>
  <c r="AA39" i="30"/>
  <c r="T39" i="30"/>
  <c r="E39" i="30"/>
  <c r="AB38" i="30"/>
  <c r="AA38" i="30"/>
  <c r="E38" i="30"/>
  <c r="T38" i="30" s="1"/>
  <c r="AB37" i="30"/>
  <c r="AA37" i="30"/>
  <c r="T37" i="30"/>
  <c r="M37" i="30"/>
  <c r="K37" i="30"/>
  <c r="E37" i="30"/>
  <c r="AB36" i="30"/>
  <c r="AA36" i="30"/>
  <c r="E36" i="30"/>
  <c r="T36" i="30" s="1"/>
  <c r="AB35" i="30"/>
  <c r="AA35" i="30"/>
  <c r="T35" i="30"/>
  <c r="M35" i="30"/>
  <c r="K35" i="30"/>
  <c r="E35" i="30"/>
  <c r="AB34" i="30"/>
  <c r="AA34" i="30"/>
  <c r="E34" i="30"/>
  <c r="T34" i="30" s="1"/>
  <c r="AB33" i="30"/>
  <c r="AA33" i="30"/>
  <c r="M33" i="30"/>
  <c r="K33" i="30"/>
  <c r="E33" i="30"/>
  <c r="T33" i="30" s="1"/>
  <c r="AB32" i="30"/>
  <c r="AA32" i="30"/>
  <c r="E32" i="30"/>
  <c r="T32" i="30" s="1"/>
  <c r="AB31" i="30"/>
  <c r="AA31" i="30"/>
  <c r="M31" i="30"/>
  <c r="K31" i="30"/>
  <c r="AB30" i="30"/>
  <c r="AA30" i="30"/>
  <c r="M30" i="30"/>
  <c r="K30" i="30"/>
  <c r="AB29" i="30"/>
  <c r="AA29" i="30"/>
  <c r="M29" i="30"/>
  <c r="K29" i="30"/>
  <c r="AB28" i="30"/>
  <c r="AA28" i="30"/>
  <c r="M28" i="30"/>
  <c r="K28" i="30"/>
  <c r="AB27" i="30"/>
  <c r="AA27" i="30"/>
  <c r="M27" i="30"/>
  <c r="K27" i="30"/>
  <c r="M47" i="1"/>
  <c r="M46" i="1"/>
  <c r="Z46" i="30" l="1"/>
  <c r="R49" i="30" s="1"/>
  <c r="R83" i="30" s="1"/>
  <c r="Y46" i="30"/>
  <c r="P49" i="30" s="1"/>
  <c r="R74" i="30"/>
  <c r="P83" i="30" l="1"/>
  <c r="P72" i="30"/>
  <c r="P85" i="30"/>
  <c r="P84" i="30"/>
  <c r="P82" i="30"/>
  <c r="P80" i="30"/>
  <c r="R85" i="30"/>
  <c r="R84" i="30"/>
  <c r="R82" i="30"/>
  <c r="R80" i="30"/>
  <c r="M12" i="14" l="1"/>
  <c r="P74" i="30"/>
  <c r="R10" i="6" l="1"/>
  <c r="K45" i="28" l="1"/>
  <c r="M46" i="7"/>
  <c r="K46" i="7"/>
  <c r="R67" i="7" l="1"/>
  <c r="R68" i="7"/>
  <c r="R69" i="7"/>
  <c r="O68" i="28"/>
  <c r="O67" i="28"/>
  <c r="P69" i="7"/>
  <c r="AA31" i="7"/>
  <c r="P71" i="7"/>
  <c r="P70" i="7"/>
  <c r="P67" i="7"/>
  <c r="K7" i="14" s="1"/>
  <c r="Y38" i="28"/>
  <c r="Y37" i="28"/>
  <c r="Y36" i="28"/>
  <c r="Y35" i="28"/>
  <c r="Y34" i="28"/>
  <c r="Y33" i="28"/>
  <c r="Y32" i="28"/>
  <c r="Y31" i="28"/>
  <c r="AA32" i="7"/>
  <c r="Y41" i="28"/>
  <c r="Y40" i="28"/>
  <c r="Y42" i="28"/>
  <c r="Y43" i="28"/>
  <c r="Y39" i="28"/>
  <c r="Y30" i="28"/>
  <c r="Y29" i="28"/>
  <c r="Y28" i="28"/>
  <c r="Y27" i="28"/>
  <c r="Y26" i="28"/>
  <c r="K43" i="28"/>
  <c r="K41" i="28"/>
  <c r="K40" i="28"/>
  <c r="K39" i="28"/>
  <c r="K32" i="28"/>
  <c r="K34" i="28"/>
  <c r="K36" i="28"/>
  <c r="K26" i="28"/>
  <c r="K27" i="7"/>
  <c r="K42" i="28"/>
  <c r="K29" i="28"/>
  <c r="K28" i="28"/>
  <c r="K27" i="28"/>
  <c r="K40" i="7"/>
  <c r="AB31" i="7"/>
  <c r="AB30" i="7"/>
  <c r="AB29" i="7"/>
  <c r="AB28" i="7"/>
  <c r="AB27" i="7"/>
  <c r="AA30" i="7"/>
  <c r="AA29" i="7"/>
  <c r="AA28" i="7"/>
  <c r="AA27" i="7"/>
  <c r="M27" i="7"/>
  <c r="M28" i="7"/>
  <c r="M29" i="7"/>
  <c r="M30" i="7"/>
  <c r="M31" i="7"/>
  <c r="AB33" i="7"/>
  <c r="AB34" i="7"/>
  <c r="AB35" i="7"/>
  <c r="AB36" i="7"/>
  <c r="AB37" i="7"/>
  <c r="AB38" i="7"/>
  <c r="AB39" i="7"/>
  <c r="AB32" i="7"/>
  <c r="AA33" i="7"/>
  <c r="AA34" i="7"/>
  <c r="AA35" i="7"/>
  <c r="AA36" i="7"/>
  <c r="AA37" i="7"/>
  <c r="AA38" i="7"/>
  <c r="AA39" i="7"/>
  <c r="M33" i="7"/>
  <c r="M35" i="7"/>
  <c r="M37" i="7"/>
  <c r="K33" i="7"/>
  <c r="K35" i="7"/>
  <c r="K37" i="7"/>
  <c r="Q29" i="4"/>
  <c r="M34" i="30" s="1"/>
  <c r="Q30" i="4"/>
  <c r="Q31" i="4"/>
  <c r="M36" i="30" s="1"/>
  <c r="Q32" i="4"/>
  <c r="Q33" i="4"/>
  <c r="Q34" i="4"/>
  <c r="M39" i="30" s="1"/>
  <c r="O28" i="4"/>
  <c r="O29" i="4"/>
  <c r="K34" i="30" s="1"/>
  <c r="O30" i="4"/>
  <c r="O31" i="4"/>
  <c r="K36" i="30" s="1"/>
  <c r="O32" i="4"/>
  <c r="O33" i="4"/>
  <c r="K39" i="30"/>
  <c r="AB51" i="2"/>
  <c r="F26" i="4"/>
  <c r="E31" i="30" s="1"/>
  <c r="T31" i="30" s="1"/>
  <c r="F25" i="4"/>
  <c r="E30" i="30" s="1"/>
  <c r="T30" i="30" s="1"/>
  <c r="F24" i="4"/>
  <c r="E29" i="30" s="1"/>
  <c r="T29" i="30" s="1"/>
  <c r="F23" i="4"/>
  <c r="E28" i="30" s="1"/>
  <c r="T28" i="30" s="1"/>
  <c r="E27" i="30"/>
  <c r="T27" i="30" s="1"/>
  <c r="AB55" i="2"/>
  <c r="AB54" i="2"/>
  <c r="AB53" i="2"/>
  <c r="AB58" i="2" s="1"/>
  <c r="AB52" i="2"/>
  <c r="AE47" i="2" s="1"/>
  <c r="AB45" i="2"/>
  <c r="AB44" i="2"/>
  <c r="AB43" i="2"/>
  <c r="AB42" i="2"/>
  <c r="AB41" i="2"/>
  <c r="AB40" i="2"/>
  <c r="AB39" i="2"/>
  <c r="K34" i="7" l="1"/>
  <c r="M34" i="7"/>
  <c r="K33" i="28"/>
  <c r="M36" i="7"/>
  <c r="K35" i="28"/>
  <c r="K36" i="7"/>
  <c r="K38" i="28"/>
  <c r="M39" i="7"/>
  <c r="K39" i="7"/>
  <c r="K37" i="28"/>
  <c r="K38" i="30"/>
  <c r="M38" i="7"/>
  <c r="M38" i="30"/>
  <c r="K32" i="7"/>
  <c r="K32" i="30"/>
  <c r="M32" i="7"/>
  <c r="M32" i="30"/>
  <c r="AC45" i="2"/>
  <c r="K31" i="28"/>
  <c r="K38" i="7"/>
  <c r="AK44" i="2"/>
  <c r="AG43" i="2"/>
  <c r="AI48" i="2"/>
  <c r="AK46" i="2"/>
  <c r="AE40" i="2"/>
  <c r="AK45" i="2"/>
  <c r="AK40" i="2"/>
  <c r="AG41" i="2"/>
  <c r="AI43" i="2"/>
  <c r="AK43" i="2"/>
  <c r="AH40" i="2"/>
  <c r="AJ43" i="2"/>
  <c r="AJ48" i="2"/>
  <c r="AJ44" i="2"/>
  <c r="AJ40" i="2"/>
  <c r="AC47" i="2"/>
  <c r="AC41" i="2"/>
  <c r="AG39" i="2"/>
  <c r="AC48" i="2"/>
  <c r="AI46" i="2"/>
  <c r="AH45" i="2"/>
  <c r="AG44" i="2"/>
  <c r="O24" i="4" s="1"/>
  <c r="AC43" i="2"/>
  <c r="AK41" i="2"/>
  <c r="AC40" i="2"/>
  <c r="AE41" i="2"/>
  <c r="AC39" i="2"/>
  <c r="AC42" i="2"/>
  <c r="AB56" i="2"/>
  <c r="AD41" i="2" s="1"/>
  <c r="AI39" i="2"/>
  <c r="K30" i="7" s="1"/>
  <c r="AK47" i="2"/>
  <c r="AG46" i="2"/>
  <c r="AG45" i="2"/>
  <c r="AE44" i="2"/>
  <c r="AK42" i="2"/>
  <c r="AI41" i="2"/>
  <c r="AI40" i="2"/>
  <c r="AC46" i="2"/>
  <c r="AE42" i="2"/>
  <c r="AG48" i="2"/>
  <c r="AE39" i="2"/>
  <c r="AB60" i="2"/>
  <c r="AL40" i="2" s="1"/>
  <c r="AK39" i="2"/>
  <c r="P81" i="30" s="1"/>
  <c r="AI47" i="2"/>
  <c r="AC44" i="2"/>
  <c r="AI42" i="2"/>
  <c r="AH41" i="2"/>
  <c r="AG40" i="2"/>
  <c r="AB57" i="2"/>
  <c r="AF44" i="2" s="1"/>
  <c r="AE43" i="2"/>
  <c r="AE48" i="2"/>
  <c r="AI45" i="2"/>
  <c r="AI44" i="2"/>
  <c r="AK48" i="2"/>
  <c r="AG47" i="2"/>
  <c r="AE46" i="2"/>
  <c r="AE45" i="2"/>
  <c r="AG42" i="2"/>
  <c r="AH39" i="2"/>
  <c r="AH47" i="2"/>
  <c r="AJ46" i="2"/>
  <c r="AH43" i="2"/>
  <c r="AJ42" i="2"/>
  <c r="AJ39" i="2"/>
  <c r="AH44" i="2"/>
  <c r="Q24" i="4" s="1"/>
  <c r="AJ47" i="2"/>
  <c r="AH46" i="2"/>
  <c r="AJ45" i="2"/>
  <c r="AH42" i="2"/>
  <c r="AJ41" i="2"/>
  <c r="AH48" i="2"/>
  <c r="G79" i="2"/>
  <c r="G80" i="2"/>
  <c r="G81" i="2"/>
  <c r="G82" i="2"/>
  <c r="G83" i="2"/>
  <c r="G84" i="2"/>
  <c r="G78" i="2"/>
  <c r="G76" i="2"/>
  <c r="G72" i="2"/>
  <c r="G73" i="2"/>
  <c r="G74" i="2"/>
  <c r="G71" i="2"/>
  <c r="G69" i="2"/>
  <c r="G68" i="2"/>
  <c r="G62" i="2"/>
  <c r="G63" i="2"/>
  <c r="G64" i="2"/>
  <c r="G65" i="2"/>
  <c r="G66" i="2"/>
  <c r="G61" i="2"/>
  <c r="G59" i="2"/>
  <c r="G58" i="2"/>
  <c r="G56" i="2"/>
  <c r="G33" i="2"/>
  <c r="G34" i="2"/>
  <c r="G35" i="2"/>
  <c r="G36" i="2"/>
  <c r="G37" i="2"/>
  <c r="G38" i="2"/>
  <c r="G39" i="2"/>
  <c r="G40" i="2"/>
  <c r="G41" i="2"/>
  <c r="G42" i="2"/>
  <c r="G43" i="2"/>
  <c r="G44" i="2"/>
  <c r="G45" i="2"/>
  <c r="G46" i="2"/>
  <c r="G47" i="2"/>
  <c r="G48" i="2"/>
  <c r="G49" i="2"/>
  <c r="G51" i="2"/>
  <c r="G53" i="2"/>
  <c r="G32" i="2"/>
  <c r="G29" i="2"/>
  <c r="G30" i="2"/>
  <c r="G28" i="2"/>
  <c r="G25" i="2"/>
  <c r="G26" i="2"/>
  <c r="G24" i="2"/>
  <c r="G21" i="2"/>
  <c r="G22" i="2"/>
  <c r="G20" i="2"/>
  <c r="G18" i="2"/>
  <c r="G17" i="2"/>
  <c r="G15" i="2"/>
  <c r="G12" i="2"/>
  <c r="G13" i="2"/>
  <c r="G11" i="2"/>
  <c r="G8" i="2"/>
  <c r="G9" i="2"/>
  <c r="G7" i="2"/>
  <c r="G5" i="2"/>
  <c r="G4" i="2"/>
  <c r="D77" i="2"/>
  <c r="D78" i="2"/>
  <c r="D79" i="2"/>
  <c r="D80" i="2"/>
  <c r="D81" i="2"/>
  <c r="D82" i="2"/>
  <c r="D83" i="2"/>
  <c r="D84" i="2"/>
  <c r="D76" i="2"/>
  <c r="D72" i="2"/>
  <c r="D73" i="2"/>
  <c r="D74" i="2"/>
  <c r="D71" i="2"/>
  <c r="D69" i="2"/>
  <c r="D68" i="2"/>
  <c r="D62" i="2"/>
  <c r="D63" i="2"/>
  <c r="D64" i="2"/>
  <c r="D65" i="2"/>
  <c r="D66" i="2"/>
  <c r="D61" i="2"/>
  <c r="D59" i="2"/>
  <c r="D58" i="2"/>
  <c r="D56" i="2"/>
  <c r="D53" i="2"/>
  <c r="D51" i="2"/>
  <c r="D33" i="2"/>
  <c r="D34" i="2"/>
  <c r="D35" i="2"/>
  <c r="D36" i="2"/>
  <c r="D37" i="2"/>
  <c r="D38" i="2"/>
  <c r="D39" i="2"/>
  <c r="D40" i="2"/>
  <c r="D41" i="2"/>
  <c r="D42" i="2"/>
  <c r="D43" i="2"/>
  <c r="D44" i="2"/>
  <c r="D45" i="2"/>
  <c r="D46" i="2"/>
  <c r="D47" i="2"/>
  <c r="D48" i="2"/>
  <c r="D49" i="2"/>
  <c r="D32" i="2"/>
  <c r="D29" i="2"/>
  <c r="D30" i="2"/>
  <c r="D28" i="2"/>
  <c r="D25" i="2"/>
  <c r="D26" i="2"/>
  <c r="D24" i="2"/>
  <c r="D21" i="2"/>
  <c r="D22" i="2"/>
  <c r="D20" i="2"/>
  <c r="D18" i="2"/>
  <c r="D17" i="2"/>
  <c r="D15" i="2"/>
  <c r="D12" i="2"/>
  <c r="D13" i="2"/>
  <c r="D11" i="2"/>
  <c r="D8" i="2"/>
  <c r="D9" i="2"/>
  <c r="D7"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3" i="2"/>
  <c r="D5" i="2"/>
  <c r="D4" i="2"/>
  <c r="O25" i="4" l="1"/>
  <c r="O23" i="4"/>
  <c r="O26" i="4"/>
  <c r="Q25" i="4"/>
  <c r="O22" i="4"/>
  <c r="AD48" i="2"/>
  <c r="K36" i="5"/>
  <c r="AD45" i="2"/>
  <c r="AL41" i="2"/>
  <c r="K29" i="7"/>
  <c r="K28" i="7"/>
  <c r="AL48" i="2"/>
  <c r="AL46" i="2"/>
  <c r="AL47" i="2"/>
  <c r="AL43" i="2"/>
  <c r="AL39" i="2"/>
  <c r="R81" i="30" s="1"/>
  <c r="AL44" i="2"/>
  <c r="Q26" i="4" s="1"/>
  <c r="AL42" i="2"/>
  <c r="AL45" i="2"/>
  <c r="AF48" i="2"/>
  <c r="AF47" i="2"/>
  <c r="AF39" i="2"/>
  <c r="Q23" i="4" s="1"/>
  <c r="AF45" i="2"/>
  <c r="AF46" i="2"/>
  <c r="AF41" i="2"/>
  <c r="AF42" i="2"/>
  <c r="AF43" i="2"/>
  <c r="AD39" i="2"/>
  <c r="AF40" i="2"/>
  <c r="AD44" i="2"/>
  <c r="Q22" i="4" s="1"/>
  <c r="AD40" i="2"/>
  <c r="AD43" i="2"/>
  <c r="AD42" i="2"/>
  <c r="AD46" i="2"/>
  <c r="AD47" i="2"/>
  <c r="K38" i="5" l="1"/>
  <c r="K31" i="7"/>
  <c r="K30" i="28"/>
  <c r="K42" i="7" l="1"/>
  <c r="K43" i="7"/>
  <c r="K41" i="7"/>
  <c r="K44" i="7"/>
  <c r="W45" i="28"/>
  <c r="O48" i="28" s="1"/>
  <c r="K86" i="28"/>
  <c r="O71" i="28"/>
  <c r="O70" i="28"/>
  <c r="O69" i="28"/>
  <c r="O66" i="28"/>
  <c r="E43" i="28"/>
  <c r="R43" i="28" s="1"/>
  <c r="E42" i="28"/>
  <c r="R42" i="28" s="1"/>
  <c r="E41" i="28"/>
  <c r="R41" i="28" s="1"/>
  <c r="E40" i="28"/>
  <c r="R40" i="28" s="1"/>
  <c r="E38" i="28"/>
  <c r="R38" i="28" s="1"/>
  <c r="E37" i="28"/>
  <c r="R37" i="28" s="1"/>
  <c r="E36" i="28"/>
  <c r="R36" i="28" s="1"/>
  <c r="E35" i="28"/>
  <c r="R35" i="28" s="1"/>
  <c r="E34" i="28"/>
  <c r="R34" i="28" s="1"/>
  <c r="E33" i="28"/>
  <c r="R33" i="28" s="1"/>
  <c r="E32" i="28"/>
  <c r="R32" i="28" s="1"/>
  <c r="E31" i="28"/>
  <c r="R31" i="28" s="1"/>
  <c r="M87" i="7"/>
  <c r="K87" i="7"/>
  <c r="R71" i="7"/>
  <c r="R70" i="7"/>
  <c r="AB40" i="7"/>
  <c r="AB41" i="7"/>
  <c r="AB42" i="7"/>
  <c r="AB43" i="7"/>
  <c r="AB44" i="7"/>
  <c r="AA41" i="7"/>
  <c r="AA42" i="7"/>
  <c r="AA43" i="7"/>
  <c r="AA44" i="7"/>
  <c r="AA40" i="7"/>
  <c r="E32" i="7"/>
  <c r="T32" i="7" s="1"/>
  <c r="E33" i="7"/>
  <c r="T33" i="7" s="1"/>
  <c r="E34" i="7"/>
  <c r="T34" i="7" s="1"/>
  <c r="E35" i="7"/>
  <c r="T35" i="7" s="1"/>
  <c r="E36" i="7"/>
  <c r="T36" i="7" s="1"/>
  <c r="E37" i="7"/>
  <c r="T37" i="7" s="1"/>
  <c r="E38" i="7"/>
  <c r="T38" i="7" s="1"/>
  <c r="E39" i="7"/>
  <c r="T39" i="7" s="1"/>
  <c r="E41" i="7"/>
  <c r="T41" i="7" s="1"/>
  <c r="E42" i="7"/>
  <c r="T42" i="7" s="1"/>
  <c r="E43" i="7"/>
  <c r="T43" i="7" s="1"/>
  <c r="E44" i="7"/>
  <c r="T44" i="7" s="1"/>
  <c r="O81" i="28" l="1"/>
  <c r="O80" i="28"/>
  <c r="Y46" i="7"/>
  <c r="P49" i="7" s="1"/>
  <c r="Z46" i="7"/>
  <c r="R49" i="7" s="1"/>
  <c r="R72" i="7" s="1"/>
  <c r="O73" i="28"/>
  <c r="P81" i="7" l="1"/>
  <c r="P72" i="7"/>
  <c r="R80" i="7"/>
  <c r="R81" i="7"/>
  <c r="R74" i="7"/>
  <c r="P68" i="7"/>
  <c r="R82" i="7"/>
  <c r="P82" i="7"/>
  <c r="R83" i="7"/>
  <c r="R85" i="7"/>
  <c r="R84" i="7"/>
  <c r="K15" i="18" l="1"/>
  <c r="S10" i="6" l="1"/>
  <c r="S9" i="6"/>
  <c r="K30" i="5"/>
  <c r="Q36" i="4"/>
  <c r="Q37" i="4"/>
  <c r="Q38" i="4"/>
  <c r="Q39" i="4"/>
  <c r="F8" i="19" l="1"/>
  <c r="S20" i="6"/>
  <c r="K25" i="18"/>
  <c r="H20" i="19"/>
  <c r="P20" i="19"/>
  <c r="X20" i="19"/>
  <c r="I20" i="19"/>
  <c r="Q20" i="19"/>
  <c r="Y20" i="19"/>
  <c r="J20" i="19"/>
  <c r="R20" i="19"/>
  <c r="Z20" i="19"/>
  <c r="K20" i="19"/>
  <c r="S20" i="19"/>
  <c r="L20" i="19"/>
  <c r="T20" i="19"/>
  <c r="M20" i="19"/>
  <c r="U20" i="19"/>
  <c r="F20" i="19"/>
  <c r="N20" i="19"/>
  <c r="V20" i="19"/>
  <c r="G20" i="19"/>
  <c r="O20" i="19"/>
  <c r="W20" i="19"/>
  <c r="K27" i="18"/>
  <c r="S22" i="6"/>
  <c r="O37" i="4"/>
  <c r="O36" i="4"/>
  <c r="O38" i="4"/>
  <c r="O39" i="4"/>
  <c r="F35" i="4"/>
  <c r="E40" i="30" s="1"/>
  <c r="T40" i="30" s="1"/>
  <c r="E31" i="7" l="1"/>
  <c r="T31" i="7" s="1"/>
  <c r="E30" i="28"/>
  <c r="R30" i="28" s="1"/>
  <c r="E29" i="28"/>
  <c r="R29" i="28" s="1"/>
  <c r="E30" i="7"/>
  <c r="T30" i="7" s="1"/>
  <c r="E29" i="7"/>
  <c r="T29" i="7" s="1"/>
  <c r="E28" i="28"/>
  <c r="R28" i="28" s="1"/>
  <c r="E39" i="28"/>
  <c r="R39" i="28" s="1"/>
  <c r="E40" i="7"/>
  <c r="T40" i="7" s="1"/>
  <c r="E27" i="7"/>
  <c r="T27" i="7" s="1"/>
  <c r="E26" i="28"/>
  <c r="R26" i="28" s="1"/>
  <c r="E28" i="7"/>
  <c r="T28" i="7" s="1"/>
  <c r="E27" i="28"/>
  <c r="R27" i="28" s="1"/>
  <c r="Q41" i="4"/>
  <c r="K48" i="4" s="1"/>
  <c r="O41" i="4"/>
  <c r="K46" i="4" s="1"/>
  <c r="O20" i="6" l="1"/>
  <c r="K20" i="6"/>
  <c r="O21" i="6"/>
  <c r="K21" i="6"/>
  <c r="K20" i="18"/>
  <c r="S18" i="6"/>
  <c r="K19" i="18"/>
  <c r="S21" i="6"/>
  <c r="G75" i="2"/>
  <c r="D67" i="2"/>
  <c r="K47" i="1"/>
  <c r="K46" i="1"/>
  <c r="L46" i="1" l="1"/>
  <c r="M33" i="6" s="1"/>
  <c r="M10" i="6" l="1"/>
  <c r="M18" i="6"/>
  <c r="L45" i="1"/>
  <c r="V59" i="1" s="1"/>
  <c r="M8" i="6"/>
  <c r="M25" i="6"/>
  <c r="M41" i="6"/>
  <c r="S13" i="6"/>
  <c r="D49" i="6"/>
  <c r="M31" i="6"/>
  <c r="V60" i="1"/>
  <c r="M20" i="6"/>
  <c r="R13" i="6"/>
  <c r="AD47" i="1"/>
  <c r="AD46" i="1"/>
  <c r="S14" i="6" s="1"/>
  <c r="V22" i="1"/>
  <c r="V29" i="1" s="1"/>
  <c r="S15" i="6" l="1"/>
  <c r="S12" i="6"/>
  <c r="M55" i="1"/>
  <c r="M54" i="1"/>
  <c r="K55" i="1"/>
  <c r="M12" i="6"/>
  <c r="M27" i="6" s="1"/>
  <c r="M34" i="6" s="1"/>
  <c r="M43" i="6" s="1"/>
  <c r="D50" i="6" s="1"/>
  <c r="L54" i="1"/>
  <c r="V61" i="1" s="1"/>
  <c r="AD55" i="1"/>
  <c r="AD54" i="1"/>
  <c r="S11" i="6"/>
  <c r="K54" i="1"/>
  <c r="L8" i="19"/>
  <c r="W61" i="1" l="1"/>
  <c r="O12" i="6" s="1"/>
  <c r="O27" i="6" s="1"/>
  <c r="W63" i="1"/>
  <c r="O13" i="6" s="1"/>
  <c r="O28" i="6" s="1"/>
  <c r="U61" i="1"/>
  <c r="K12" i="6" s="1"/>
  <c r="U63" i="1"/>
  <c r="K13" i="6" s="1"/>
  <c r="K10" i="28"/>
  <c r="K54" i="28" s="1"/>
  <c r="L53" i="1"/>
  <c r="O35" i="6" l="1"/>
  <c r="O44" i="6" s="1"/>
  <c r="K28" i="6"/>
  <c r="K35" i="6" s="1"/>
  <c r="K44" i="6" s="1"/>
  <c r="D56" i="6" s="1"/>
  <c r="K26" i="18"/>
  <c r="K55" i="28"/>
  <c r="K27" i="6"/>
  <c r="K24" i="18"/>
  <c r="K11" i="30" l="1"/>
  <c r="M56" i="30" s="1"/>
  <c r="D59" i="6"/>
  <c r="K11" i="7"/>
  <c r="M54" i="7" s="1"/>
  <c r="O34" i="6"/>
  <c r="O43" i="6" s="1"/>
  <c r="K34" i="6"/>
  <c r="K10" i="30" l="1"/>
  <c r="D53" i="6"/>
  <c r="M59" i="7"/>
  <c r="M58" i="7"/>
  <c r="M56" i="7"/>
  <c r="M57" i="7"/>
  <c r="M74" i="7"/>
  <c r="R87" i="7"/>
  <c r="M55" i="7"/>
  <c r="R87" i="30"/>
  <c r="M55" i="30"/>
  <c r="M74" i="30"/>
  <c r="M57" i="30"/>
  <c r="M54" i="30"/>
  <c r="M59" i="30"/>
  <c r="M58" i="30"/>
  <c r="K41" i="4"/>
  <c r="K22" i="30" l="1"/>
  <c r="M22" i="30"/>
  <c r="K22" i="7"/>
  <c r="K21" i="28"/>
  <c r="M22" i="7"/>
  <c r="K16" i="18"/>
  <c r="I12" i="19" s="1"/>
  <c r="Z8" i="19"/>
  <c r="O82" i="28" l="1"/>
  <c r="O83" i="28"/>
  <c r="O84" i="28"/>
  <c r="O79" i="28"/>
  <c r="P85" i="7"/>
  <c r="P80" i="7"/>
  <c r="P83" i="7"/>
  <c r="P84" i="7"/>
  <c r="F21" i="19"/>
  <c r="F22" i="19" s="1"/>
  <c r="F23" i="19" s="1"/>
  <c r="H21" i="19"/>
  <c r="H22" i="19" s="1"/>
  <c r="H23" i="19" s="1"/>
  <c r="P21" i="19"/>
  <c r="P22" i="19" s="1"/>
  <c r="P23" i="19" s="1"/>
  <c r="X21" i="19"/>
  <c r="X22" i="19" s="1"/>
  <c r="X23" i="19" s="1"/>
  <c r="I21" i="19"/>
  <c r="I22" i="19" s="1"/>
  <c r="I23" i="19" s="1"/>
  <c r="Z21" i="19"/>
  <c r="Z22" i="19" s="1"/>
  <c r="Z23" i="19" s="1"/>
  <c r="K21" i="19"/>
  <c r="K22" i="19" s="1"/>
  <c r="K23" i="19" s="1"/>
  <c r="S21" i="19"/>
  <c r="S22" i="19" s="1"/>
  <c r="S23" i="19" s="1"/>
  <c r="O21" i="19"/>
  <c r="O22" i="19" s="1"/>
  <c r="O23" i="19" s="1"/>
  <c r="L21" i="19"/>
  <c r="L22" i="19" s="1"/>
  <c r="L23" i="19" s="1"/>
  <c r="T21" i="19"/>
  <c r="T22" i="19" s="1"/>
  <c r="T23" i="19" s="1"/>
  <c r="Q21" i="19"/>
  <c r="Q22" i="19" s="1"/>
  <c r="Q23" i="19" s="1"/>
  <c r="R21" i="19"/>
  <c r="R22" i="19" s="1"/>
  <c r="R23" i="19" s="1"/>
  <c r="M21" i="19"/>
  <c r="M22" i="19" s="1"/>
  <c r="M23" i="19" s="1"/>
  <c r="U21" i="19"/>
  <c r="U22" i="19" s="1"/>
  <c r="U23" i="19" s="1"/>
  <c r="W21" i="19"/>
  <c r="W22" i="19" s="1"/>
  <c r="W23" i="19" s="1"/>
  <c r="Y21" i="19"/>
  <c r="Y22" i="19" s="1"/>
  <c r="Y23" i="19" s="1"/>
  <c r="J21" i="19"/>
  <c r="J22" i="19" s="1"/>
  <c r="J23" i="19" s="1"/>
  <c r="N21" i="19"/>
  <c r="N22" i="19" s="1"/>
  <c r="N23" i="19" s="1"/>
  <c r="V21" i="19"/>
  <c r="V22" i="19" s="1"/>
  <c r="V23" i="19" s="1"/>
  <c r="G21" i="19"/>
  <c r="G22" i="19" s="1"/>
  <c r="G23" i="19" s="1"/>
  <c r="F9" i="19"/>
  <c r="S24" i="19"/>
  <c r="S25" i="19" s="1"/>
  <c r="X24" i="19"/>
  <c r="X25" i="19" s="1"/>
  <c r="G24" i="19"/>
  <c r="G25" i="19" s="1"/>
  <c r="K24" i="19"/>
  <c r="K25" i="19" s="1"/>
  <c r="P24" i="19"/>
  <c r="P25" i="19" s="1"/>
  <c r="V24" i="19"/>
  <c r="V25" i="19" s="1"/>
  <c r="Z24" i="19"/>
  <c r="Z25" i="19" s="1"/>
  <c r="H24" i="19"/>
  <c r="N24" i="19"/>
  <c r="R24" i="19"/>
  <c r="R25" i="19" s="1"/>
  <c r="F24" i="19"/>
  <c r="F25" i="19" s="1"/>
  <c r="U24" i="19"/>
  <c r="U25" i="19" s="1"/>
  <c r="J24" i="19"/>
  <c r="M24" i="19"/>
  <c r="M25" i="19" s="1"/>
  <c r="L24" i="19"/>
  <c r="Y24" i="19"/>
  <c r="Y25" i="19" s="1"/>
  <c r="T24" i="19"/>
  <c r="O24" i="19"/>
  <c r="O25" i="19" s="1"/>
  <c r="Q24" i="19"/>
  <c r="Q25" i="19" s="1"/>
  <c r="W24" i="19"/>
  <c r="W25" i="19" s="1"/>
  <c r="I24" i="19"/>
  <c r="I25" i="19" s="1"/>
  <c r="W8" i="19"/>
  <c r="O8" i="19"/>
  <c r="G8" i="19"/>
  <c r="V8" i="19"/>
  <c r="N8" i="19"/>
  <c r="U8" i="19"/>
  <c r="T8" i="19"/>
  <c r="R8" i="19"/>
  <c r="Y8" i="19"/>
  <c r="I8" i="19"/>
  <c r="S8" i="19"/>
  <c r="K8" i="19"/>
  <c r="J8" i="19"/>
  <c r="Q8" i="19"/>
  <c r="M8" i="19"/>
  <c r="X8" i="19"/>
  <c r="P8" i="19"/>
  <c r="H8" i="19"/>
  <c r="T25" i="19" l="1"/>
  <c r="T26" i="19" s="1"/>
  <c r="H25" i="19"/>
  <c r="H26" i="19" s="1"/>
  <c r="N25" i="19"/>
  <c r="N26" i="19" s="1"/>
  <c r="L25" i="19"/>
  <c r="L26" i="19" s="1"/>
  <c r="J25" i="19"/>
  <c r="J26" i="19" s="1"/>
  <c r="P26" i="19"/>
  <c r="S26" i="19"/>
  <c r="I26" i="19"/>
  <c r="Z26" i="19"/>
  <c r="Q26" i="19"/>
  <c r="K26" i="19"/>
  <c r="M26" i="19"/>
  <c r="W26" i="19"/>
  <c r="U26" i="19"/>
  <c r="R26" i="19"/>
  <c r="X26" i="19"/>
  <c r="Y26" i="19"/>
  <c r="O26" i="19"/>
  <c r="F26" i="19"/>
  <c r="G26" i="19"/>
  <c r="V26" i="19"/>
  <c r="T20" i="18" l="1"/>
  <c r="AB17" i="19" s="1"/>
  <c r="AB19" i="19" s="1"/>
  <c r="AB21" i="19" s="1"/>
  <c r="K8" i="14"/>
  <c r="K11" i="14"/>
  <c r="K9" i="14"/>
  <c r="O9" i="14" s="1"/>
  <c r="AB18" i="19" l="1"/>
  <c r="AB24" i="19" s="1"/>
  <c r="T24" i="18" s="1"/>
  <c r="L9" i="19"/>
  <c r="L10" i="19" s="1"/>
  <c r="L11" i="19" s="1"/>
  <c r="P12" i="19"/>
  <c r="P13" i="19" s="1"/>
  <c r="L12" i="19"/>
  <c r="L13" i="19" s="1"/>
  <c r="K12" i="14"/>
  <c r="O12" i="14" s="1"/>
  <c r="K10" i="14"/>
  <c r="O10" i="14" s="1"/>
  <c r="O7" i="14"/>
  <c r="O8" i="14"/>
  <c r="F10" i="19"/>
  <c r="F12" i="19"/>
  <c r="F13" i="19" s="1"/>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3" i="19"/>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AB20" i="19" l="1"/>
  <c r="AB22" i="19" s="1"/>
  <c r="AB23" i="19" s="1"/>
  <c r="T21" i="18" s="1"/>
  <c r="F11" i="19"/>
  <c r="F14" i="19" s="1"/>
  <c r="K14" i="14"/>
  <c r="Z14" i="19"/>
  <c r="H14" i="19"/>
  <c r="X14" i="19"/>
  <c r="R14" i="19"/>
  <c r="P14" i="19"/>
  <c r="T14" i="19"/>
  <c r="U14" i="19"/>
  <c r="N14" i="19"/>
  <c r="J14" i="19"/>
  <c r="K14" i="19"/>
  <c r="G14" i="19"/>
  <c r="Y14" i="19"/>
  <c r="I14" i="19"/>
  <c r="M14" i="19"/>
  <c r="S14" i="19"/>
  <c r="Q14" i="19"/>
  <c r="V14" i="19"/>
  <c r="W14" i="19"/>
  <c r="L14" i="19"/>
  <c r="O14" i="19"/>
  <c r="AB25" i="19" l="1"/>
  <c r="AB26" i="19" s="1"/>
  <c r="T15" i="18"/>
  <c r="AB5" i="19" s="1"/>
  <c r="AB6" i="19" s="1"/>
  <c r="AB12" i="19" s="1"/>
  <c r="T18" i="18" s="1"/>
  <c r="G5" i="18" l="1"/>
  <c r="M14" i="14"/>
  <c r="AB7" i="19" l="1"/>
  <c r="AB9" i="19" s="1"/>
  <c r="O11" i="14"/>
  <c r="P74" i="7"/>
  <c r="AB13" i="19" l="1"/>
  <c r="AB8" i="19"/>
  <c r="AB10" i="19" s="1"/>
  <c r="AB11" i="19" s="1"/>
  <c r="T16" i="18" s="1"/>
  <c r="O14" i="14"/>
  <c r="AB14" i="19" l="1"/>
  <c r="K43" i="6" l="1"/>
  <c r="P87" i="30" l="1"/>
  <c r="K55" i="30"/>
  <c r="K74" i="30"/>
  <c r="K59" i="30"/>
  <c r="K57" i="30"/>
  <c r="K56" i="30"/>
  <c r="K58" i="30"/>
  <c r="K54" i="30"/>
  <c r="K10" i="7"/>
  <c r="K55" i="7" s="1"/>
  <c r="D47" i="6"/>
  <c r="O86" i="28"/>
  <c r="K73" i="28"/>
  <c r="K57" i="28"/>
  <c r="K53" i="28"/>
  <c r="K56" i="28"/>
  <c r="K58" i="28"/>
  <c r="K58" i="7" l="1"/>
  <c r="K54" i="7"/>
  <c r="K59" i="7"/>
  <c r="K57" i="7"/>
  <c r="K56" i="7"/>
  <c r="K74" i="7"/>
  <c r="P87" i="7"/>
</calcChain>
</file>

<file path=xl/sharedStrings.xml><?xml version="1.0" encoding="utf-8"?>
<sst xmlns="http://schemas.openxmlformats.org/spreadsheetml/2006/main" count="2098" uniqueCount="617">
  <si>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</si>
  <si>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</si>
  <si>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</si>
  <si>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</si>
  <si>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</si>
  <si>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</si>
  <si>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</si>
  <si>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</si>
  <si>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</si>
  <si>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</si>
  <si>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</si>
  <si>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</si>
  <si>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</si>
  <si>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</si>
  <si>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</si>
  <si>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</si>
  <si>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</si>
  <si>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</si>
  <si>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</si>
  <si>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</si>
  <si>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</si>
  <si>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</si>
  <si>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</si>
  <si>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</si>
  <si>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</si>
  <si>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</si>
  <si>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</si>
  <si>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</si>
  <si>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</si>
  <si>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</si>
  <si>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</si>
  <si>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</si>
  <si>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</si>
  <si>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</si>
  <si>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</si>
  <si>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</si>
  <si>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Stage 5</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</si>
  <si>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</si>
  <si>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</si>
  <si>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</si>
  <si>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</si>
  <si>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</si>
  <si>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</si>
  <si>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</si>
  <si>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</si>
  <si>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</si>
  <si>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</si>
  <si>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</si>
  <si>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</si>
  <si>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</si>
  <si>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</si>
  <si>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</si>
  <si>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</si>
  <si>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</si>
  <si>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</si>
  <si>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</si>
  <si>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</si>
  <si>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</si>
  <si>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</si>
  <si>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</si>
  <si>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</si>
  <si>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</si>
  <si>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</si>
  <si>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</si>
  <si>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</si>
  <si>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</si>
  <si>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Stage 6</t>
  </si>
  <si>
    <t>Buffer amount</t>
  </si>
  <si>
    <t>Note: Where development sites include existing areas that are to be retained, these areas can be excluded from the calculations in both Stages 2 and 3.</t>
  </si>
  <si>
    <t>Stage 7</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</si>
  <si>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</si>
  <si>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</si>
  <si>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</si>
  <si>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</si>
  <si>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</si>
  <si>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</si>
  <si>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</si>
  <si>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</si>
  <si>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</si>
  <si>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</si>
  <si>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</si>
  <si>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</si>
  <si>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</si>
  <si>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</si>
  <si>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</si>
  <si>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</si>
  <si>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</si>
  <si>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</si>
  <si>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</si>
  <si>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</si>
  <si>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</si>
  <si>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</si>
  <si>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</si>
  <si>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</si>
  <si>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</si>
  <si>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</si>
  <si>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</si>
  <si>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</si>
  <si>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</si>
  <si>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</si>
  <si>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</si>
  <si>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</si>
  <si>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</si>
  <si>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</si>
  <si>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</si>
  <si>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</si>
  <si>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</si>
  <si>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</si>
  <si>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</si>
  <si>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</si>
  <si>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</si>
  <si>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</si>
  <si>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</si>
  <si>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</si>
  <si>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</si>
  <si>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</si>
  <si>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</si>
  <si>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</si>
  <si>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</si>
  <si>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</si>
  <si>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</si>
  <si>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</si>
  <si>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</si>
  <si>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</si>
  <si>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</si>
  <si>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</si>
  <si>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</si>
  <si>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</si>
  <si>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</si>
  <si>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</si>
  <si>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</si>
  <si>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</si>
  <si>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</si>
  <si>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</si>
  <si>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</si>
  <si>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</si>
  <si>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</si>
  <si>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</si>
  <si>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The following table is used to identify the dominant drainage type of the proposed development from the soil type identified above. The drainage type should then inform Stage 2 of the calculator</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</si>
  <si>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</si>
  <si>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</si>
  <si>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</si>
  <si>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</si>
  <si>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</si>
  <si>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</si>
  <si>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</si>
  <si>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</si>
  <si>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</si>
  <si>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</si>
  <si>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</si>
  <si>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</si>
  <si>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</si>
  <si>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</si>
  <si>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</si>
  <si>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</si>
  <si>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</si>
  <si>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</si>
  <si>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</si>
  <si>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</si>
  <si>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</si>
  <si>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</si>
  <si>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</si>
  <si>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</si>
  <si>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</si>
  <si>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</si>
  <si>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</si>
  <si>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</si>
  <si>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</si>
  <si>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</si>
  <si>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</si>
  <si>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</si>
  <si>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</si>
  <si>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</si>
  <si>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</si>
  <si>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</si>
  <si>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</si>
  <si>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</si>
  <si>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</si>
  <si>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</si>
  <si>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</si>
  <si>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</si>
  <si>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</si>
  <si>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</si>
  <si>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</si>
  <si>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</si>
  <si>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</si>
  <si>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</si>
  <si>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</si>
  <si>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</si>
  <si>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</si>
  <si>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</si>
  <si>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</si>
  <si>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</si>
  <si>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</si>
  <si>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</si>
  <si>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</si>
  <si>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</si>
  <si>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</si>
  <si>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</si>
  <si>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</si>
  <si>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</si>
  <si>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</si>
  <si>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</si>
  <si>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</si>
  <si>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</si>
  <si>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</si>
  <si>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</si>
  <si>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</si>
  <si>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</si>
  <si>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</si>
  <si>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</si>
  <si>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</si>
  <si>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</si>
  <si>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</si>
  <si>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</si>
  <si>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</si>
  <si>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</si>
  <si>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</si>
  <si>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</si>
  <si>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</si>
  <si>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</si>
  <si>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</si>
  <si>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</si>
  <si>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</si>
  <si>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</si>
  <si>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</si>
  <si>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</si>
  <si>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</si>
  <si>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</si>
  <si>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</si>
  <si>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</si>
  <si>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</si>
  <si>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</si>
  <si>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</si>
  <si>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</si>
  <si>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</si>
  <si>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</si>
  <si>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</si>
  <si>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</si>
  <si>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</si>
  <si>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</si>
  <si>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</si>
  <si>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</si>
  <si>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</si>
  <si>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</si>
  <si>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</si>
  <si>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</si>
  <si>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</si>
  <si>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</si>
  <si>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Stage 5 (if mitigation is required).</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</si>
  <si>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</si>
  <si>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</si>
  <si>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</si>
  <si>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</si>
  <si>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</si>
  <si>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</si>
  <si>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</si>
  <si>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</si>
  <si>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</si>
  <si>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</si>
  <si>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</si>
  <si>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</si>
  <si>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</si>
  <si>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</si>
  <si>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</si>
  <si>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</si>
  <si>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</si>
  <si>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</si>
  <si>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</si>
  <si>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</si>
  <si>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</si>
  <si>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This stage calculates the nutrient load from the current land use.
Step 2: The user should input the proposed land uses that make up the total area of the development site. Any pre-determined on-site mitigation should also be inputted here.
Bespoke banking coefficients should be inputted for constructed wetland that can be evidenced</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</si>
  <si>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</si>
  <si>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</si>
  <si>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</si>
  <si>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</si>
  <si>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</si>
  <si>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</si>
  <si>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</si>
  <si>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</si>
  <si>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</si>
  <si>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</si>
  <si>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</si>
  <si>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</si>
  <si>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</si>
  <si>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</si>
  <si>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</si>
  <si>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</si>
  <si>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</si>
  <si>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</si>
  <si>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</si>
  <si>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</si>
  <si>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</si>
  <si>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</si>
  <si>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</si>
  <si>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</si>
  <si>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</si>
  <si>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</si>
  <si>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</si>
  <si>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</si>
  <si>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</si>
  <si>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</si>
  <si>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</si>
  <si>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</si>
  <si>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</si>
  <si>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</si>
  <si>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</si>
  <si>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</si>
  <si>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</si>
  <si>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</si>
  <si>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</si>
  <si>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</si>
  <si>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</si>
  <si>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</si>
  <si>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</si>
  <si>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</si>
  <si>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</si>
  <si>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</si>
  <si>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</si>
  <si>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</si>
  <si>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</si>
  <si>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</si>
  <si>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</si>
  <si>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</si>
  <si>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</si>
  <si>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</si>
  <si>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</si>
  <si>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</si>
  <si>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</si>
  <si>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</si>
  <si>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</si>
  <si>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</si>
  <si>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</si>
  <si>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</si>
  <si>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</si>
  <si>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</si>
  <si>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</si>
  <si>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</si>
  <si>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</si>
  <si>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</si>
  <si>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</si>
  <si>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</si>
  <si>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</si>
  <si>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</si>
  <si>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</si>
  <si>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</si>
  <si>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</si>
  <si>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</si>
  <si>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</si>
  <si>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</si>
  <si>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</si>
  <si>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</si>
  <si>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</si>
  <si>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</si>
  <si>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</si>
  <si>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</si>
  <si>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</si>
  <si>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</si>
  <si>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</si>
  <si>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</si>
  <si>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</si>
  <si>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</si>
  <si>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</si>
  <si>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</si>
  <si>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</si>
  <si>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</si>
  <si>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</si>
  <si>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</si>
  <si>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</si>
  <si>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</si>
  <si>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Septic tank</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</si>
  <si>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</si>
  <si>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</si>
  <si>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</si>
  <si>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</si>
  <si>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</si>
  <si>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</si>
  <si>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</si>
  <si>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</si>
  <si>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</si>
  <si>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</si>
  <si>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</si>
  <si>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</si>
  <si>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</si>
  <si>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</si>
  <si>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</si>
  <si>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</si>
  <si>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</si>
  <si>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</si>
  <si>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</si>
  <si>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</si>
  <si>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</si>
  <si>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</si>
  <si>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</si>
  <si>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</si>
  <si>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</si>
  <si>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</si>
  <si>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</si>
  <si>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</si>
  <si>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</si>
  <si>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</si>
  <si>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</si>
  <si>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</si>
  <si>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</si>
  <si>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</si>
  <si>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</si>
  <si>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</si>
  <si>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</si>
  <si>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</si>
  <si>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</si>
  <si>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</si>
  <si>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</si>
  <si>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</si>
  <si>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</si>
  <si>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</si>
  <si>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</si>
  <si>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</si>
  <si>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</si>
  <si>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</si>
  <si>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</si>
  <si>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</si>
  <si>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</si>
  <si>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</si>
  <si>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</si>
  <si>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</si>
  <si>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</si>
  <si>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</si>
  <si>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</si>
  <si>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</si>
  <si>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</si>
  <si>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</si>
  <si>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</si>
  <si>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</si>
  <si>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</si>
  <si>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</si>
  <si>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</si>
  <si>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</si>
  <si>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</si>
  <si>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</si>
  <si>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</si>
  <si>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</si>
  <si>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</si>
  <si>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</si>
  <si>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</si>
  <si>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</si>
  <si>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</si>
  <si>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 xml:space="preserve">This stage provides a summary of the nutrient loads calculated in stages 1-3 and presents the nutrient budget for the proposed development.
A 10% precautionary buffer is included to account for uncertainties in the runoff coefficients used. The User has the option to change this buffer should this be appropriate.
</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</si>
  <si>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</si>
  <si>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</si>
  <si>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</si>
  <si>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</si>
  <si>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</si>
  <si>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</si>
  <si>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</si>
  <si>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</si>
  <si>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</si>
  <si>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</si>
  <si>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</si>
  <si>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</si>
  <si>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</si>
  <si>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</si>
  <si>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</si>
  <si>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</si>
  <si>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</si>
  <si>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</si>
  <si>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</si>
  <si>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</si>
  <si>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</si>
  <si>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</si>
  <si>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</si>
  <si>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</si>
  <si>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</si>
  <si>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</si>
  <si>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</si>
  <si>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</si>
  <si>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</si>
  <si>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</si>
  <si>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</si>
  <si>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</si>
  <si>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</si>
  <si>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</si>
  <si>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</si>
  <si>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</si>
  <si>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</si>
  <si>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</si>
  <si>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</si>
  <si>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</si>
  <si>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</si>
  <si>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</si>
  <si>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</si>
  <si>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</si>
  <si>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</si>
  <si>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</si>
  <si>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</si>
  <si>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</si>
  <si>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</si>
  <si>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</si>
  <si>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</si>
  <si>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</si>
  <si>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</si>
  <si>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</si>
  <si>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</si>
  <si>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</si>
  <si>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</si>
  <si>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</si>
  <si>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</si>
  <si>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</si>
  <si>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</si>
  <si>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</si>
  <si>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</si>
  <si>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</si>
  <si>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</si>
  <si>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</si>
  <si>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</si>
  <si>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</si>
  <si>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</si>
  <si>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</si>
  <si>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</si>
  <si>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nurtrient loading is expressed in kg/year.</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</si>
  <si>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</si>
  <si>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</si>
  <si>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</si>
  <si>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</si>
  <si>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</si>
  <si>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</si>
  <si>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</si>
  <si>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Note: Please use the drop down lists to select the WRC that the proposed development will be connected to. If the WRC is not known, then please select 'Unknown' from the drop down list.  </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</si>
  <si>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</si>
  <si>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This stage calculates the area and land uses of the mitigation site required for the proposed development to be nutrient neutral, under current WRC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</si>
  <si>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This stage calculates the area and land uses of the mitigation site required for the proposed development to be nutrient neutral, under post-2025 WRC permit limits. THis only applies to TP.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t>
  </si>
  <si>
    <t>This stage provides a summary in the differences in mitigation land use area between the current WRC permit limits and the post-2025 WRC permit limits</t>
  </si>
  <si>
    <t xml:space="preserve">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</si>
  <si>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</si>
  <si>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</si>
  <si>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</si>
  <si>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</si>
  <si>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</si>
  <si>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</si>
  <si>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</si>
  <si>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</si>
  <si>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</si>
  <si>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</si>
  <si>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10% precautionary buffer added to tthe nutrient budget.</t>
  </si>
  <si>
    <t xml:space="preserve">Note: This section provides details on the number of proposed dwellings that can be built and occupied that are acceptable as nutrient neutral prior to the implementation of mitigation measures, should they be required. </t>
  </si>
  <si>
    <t>This tool consists of seven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</si>
  <si>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</si>
  <si>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</si>
  <si>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</si>
  <si>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</si>
  <si>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</si>
  <si>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</si>
  <si>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</si>
  <si>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</si>
  <si>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</si>
  <si>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</si>
  <si>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</si>
  <si>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</si>
  <si>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</si>
  <si>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</si>
  <si>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</si>
  <si>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</si>
  <si>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</si>
  <si>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</si>
  <si>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</si>
  <si>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</si>
  <si>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</si>
  <si>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</si>
  <si>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</si>
  <si>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</si>
  <si>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</si>
  <si>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</si>
  <si>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</si>
  <si>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</si>
  <si>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</si>
  <si>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</si>
  <si>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</si>
  <si>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</si>
  <si>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</si>
  <si>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</si>
  <si>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</si>
  <si>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</si>
  <si>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</si>
  <si>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</si>
  <si>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</si>
  <si>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</si>
  <si>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</si>
  <si>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</si>
  <si>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</si>
  <si>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</si>
  <si>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</si>
  <si>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</si>
  <si>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</si>
  <si>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</si>
  <si>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</si>
  <si>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</si>
  <si>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</si>
  <si>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</si>
  <si>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</si>
  <si>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</si>
  <si>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</si>
  <si>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</si>
  <si>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</si>
  <si>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</si>
  <si>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The user has the option to select whether sewage from the proposed development will be handled by water recycling centres or by Package treatment plants. The user must select one or the other, both options cannot be used. 
Step 2a: If the proposed development is to use </t>
    </r>
    <r>
      <rPr>
        <b/>
        <sz val="12"/>
        <color rgb="FF000000"/>
        <rFont val="Calibri"/>
        <family val="2"/>
        <scheme val="minor"/>
      </rPr>
      <t>Water Recycling Centre</t>
    </r>
    <r>
      <rPr>
        <sz val="12"/>
        <color rgb="FF000000"/>
        <rFont val="Calibri"/>
        <family val="2"/>
        <scheme val="minor"/>
      </rPr>
      <t xml:space="preserve"> (</t>
    </r>
    <r>
      <rPr>
        <b/>
        <sz val="12"/>
        <color rgb="FF000000"/>
        <rFont val="Calibri"/>
        <family val="2"/>
        <scheme val="minor"/>
      </rPr>
      <t>WRC)</t>
    </r>
    <r>
      <rPr>
        <sz val="12"/>
        <color rgb="FF000000"/>
        <rFont val="Calibri"/>
        <family val="2"/>
        <scheme val="minor"/>
      </rPr>
      <t>, then the user should select 'Yes' from the drop down box. Following this, the user should select the WRC that the development will connect to. This will select the discharge concentration from the chosen WRC.
Step 2b: If the proposed development is to use</t>
    </r>
    <r>
      <rPr>
        <b/>
        <sz val="12"/>
        <color rgb="FF000000"/>
        <rFont val="Calibri"/>
        <family val="2"/>
        <scheme val="minor"/>
      </rPr>
      <t xml:space="preserve"> Onsite treatment plants</t>
    </r>
    <r>
      <rPr>
        <sz val="12"/>
        <color rgb="FF000000"/>
        <rFont val="Calibri"/>
        <family val="2"/>
        <scheme val="minor"/>
      </rPr>
      <t xml:space="preserve">,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PTPs but these will typically require additional phosphate reduction such as chemical dosing that standard PTPs may not include.   
</t>
    </r>
  </si>
  <si>
    <r>
      <t>This stage calculates the nutrient load from the current land use.
Step 2: The user should input the area (hectares) of the current land uses that make up the total area of the development site. A GIS viewer can be used to identify the land uses on a coarse scale (</t>
    </r>
    <r>
      <rPr>
        <b/>
        <sz val="12"/>
        <color theme="1"/>
        <rFont val="Calibri"/>
        <family val="2"/>
        <scheme val="minor"/>
      </rPr>
      <t>https://gridreferencefinder.com/</t>
    </r>
    <r>
      <rPr>
        <sz val="12"/>
        <color theme="1"/>
        <rFont val="Calibri"/>
        <family val="2"/>
        <scheme val="minor"/>
      </rPr>
      <t>). However, if more detail is known about the site land uses then this should be manually inputted by the user.</t>
    </r>
  </si>
  <si>
    <r>
      <t>HaskoningDHV UK Ltd., a company of</t>
    </r>
    <r>
      <rPr>
        <b/>
        <sz val="12"/>
        <color rgb="FF000000"/>
        <rFont val="Calibri"/>
        <family val="2"/>
        <scheme val="minor"/>
      </rPr>
      <t xml:space="preserve"> </t>
    </r>
    <r>
      <rPr>
        <sz val="12"/>
        <color rgb="FF000000"/>
        <rFont val="Calibri"/>
        <family val="2"/>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</si>
  <si>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</si>
  <si>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rPr>
        <b/>
        <sz val="12"/>
        <color rgb="FF000000"/>
        <rFont val="Calibri"/>
        <family val="2"/>
        <scheme val="minor"/>
      </rPr>
      <t>Stage 1</t>
    </r>
    <r>
      <rPr>
        <sz val="12"/>
        <color rgb="FF000000"/>
        <rFont val="Calibri"/>
        <family val="2"/>
        <scheme val="minor"/>
      </rPr>
      <t xml:space="preserve"> </t>
    </r>
  </si>
  <si>
    <r>
      <t xml:space="preserve">Note: This calculation should only include the </t>
    </r>
    <r>
      <rPr>
        <b/>
        <i/>
        <sz val="12"/>
        <color rgb="FF000000"/>
        <rFont val="Calibri"/>
        <family val="2"/>
        <scheme val="minor"/>
      </rPr>
      <t>additional</t>
    </r>
    <r>
      <rPr>
        <i/>
        <sz val="12"/>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relevent number of dwellings into options a, b or c below. In the case of residential developments, only option a is required. </t>
    </r>
  </si>
  <si>
    <r>
      <t xml:space="preserve">Number of </t>
    </r>
    <r>
      <rPr>
        <b/>
        <sz val="12"/>
        <color rgb="FF000000"/>
        <rFont val="Calibri"/>
        <family val="2"/>
        <scheme val="minor"/>
      </rPr>
      <t>additional</t>
    </r>
    <r>
      <rPr>
        <sz val="12"/>
        <color rgb="FF000000"/>
        <rFont val="Calibri"/>
        <family val="2"/>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</si>
  <si>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scheme val="minor"/>
      </rPr>
      <t>current WRC permit limits</t>
    </r>
    <r>
      <rPr>
        <i/>
        <sz val="12"/>
        <color rgb="FF000000"/>
        <rFont val="Calibri"/>
        <family val="2"/>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</si>
  <si>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scheme val="minor"/>
      </rPr>
      <t xml:space="preserve"> post 2025 WRC permit limits. </t>
    </r>
  </si>
  <si>
    <t>90% permit</t>
  </si>
  <si>
    <t>Average removal rate (76%)</t>
  </si>
  <si>
    <t>River Wensum SAC &amp; Broads SAC Nutrient Budget Calculator v1.1</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</si>
  <si>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 within the Wensum and Broads catchments will have a Likely Effect and will require an Appropriate Assessment (i.e. the nutrient calculator) to assess the implications of the proposal on the designated sites.</t>
  </si>
  <si>
    <t>Nutrient budget calculator, v1.1 (ReleasedOctober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</si>
</sst>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3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1"/>
      <color rgb="FF000000"/>
      <name val="Calibri"/>
      <family val="2"/>
      <scheme val="minor"/>
    </font>
    <font>
      <sz val="10.5"/>
      <color rgb="FF000000"/>
      <name val="Calibri"/>
      <family val="2"/>
      <scheme val="minor"/>
    </font>
    <font>
      <sz val="10.5"/>
      <color rgb="FF000000"/>
      <name val="Arial"/>
      <family val="2"/>
    </font>
    <font>
      <sz val="12"/>
      <color rgb="FF000000"/>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2"/>
      <name val="Calibri"/>
      <family val="2"/>
      <scheme val="minor"/>
    </font>
    <font>
      <i/>
      <sz val="12"/>
      <color rgb="FF000000"/>
      <name val="Calibri"/>
      <family val="2"/>
      <scheme val="minor"/>
    </font>
    <font>
      <b/>
      <i/>
      <sz val="12"/>
      <color rgb="FF000000"/>
      <name val="Calibri"/>
      <family val="2"/>
      <scheme val="minor"/>
    </font>
    <font>
      <sz val="12"/>
      <color rgb="FFFF0000"/>
      <name val="Calibri"/>
      <family val="2"/>
      <scheme val="minor"/>
    </font>
    <font>
      <u/>
      <sz val="12"/>
      <color theme="10"/>
      <name val="Arial"/>
      <family val="2"/>
    </font>
  </fonts>
  <fills count="3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theme="9" tint="0.79998168889431442"/>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rgb="FFFFC000"/>
        <bgColor indexed="64"/>
      </patternFill>
    </fill>
    <fill>
      <patternFill patternType="solid">
        <fgColor theme="7"/>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9" fontId="3" fillId="0" borderId="0" applyFont="0" applyFill="0" applyBorder="0" applyAlignment="0" applyProtection="0"/>
    <xf numFmtId="0" fontId="11" fillId="0" borderId="0"/>
    <xf numFmtId="0" fontId="11" fillId="0" borderId="0"/>
    <xf numFmtId="0" fontId="14" fillId="0" borderId="0" applyNumberFormat="0" applyFill="0" applyBorder="0" applyAlignment="0" applyProtection="0"/>
  </cellStyleXfs>
  <cellXfs count="555">
    <xf numFmtId="0" fontId="0" fillId="0" borderId="0" xfId="0"/>
    <xf numFmtId="0" fontId="0" fillId="0" borderId="0" xfId="0"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0" xfId="0" applyFont="1" applyFill="1" applyBorder="1"/>
    <xf numFmtId="0" fontId="0" fillId="2" borderId="0" xfId="0" applyFill="1" applyBorder="1" applyAlignment="1">
      <alignment horizontal="center" wrapText="1"/>
    </xf>
    <xf numFmtId="0" fontId="0" fillId="2" borderId="0" xfId="0" applyFill="1" applyBorder="1" applyAlignment="1">
      <alignment vertical="center"/>
    </xf>
    <xf numFmtId="0" fontId="0" fillId="0" borderId="0" xfId="0" applyFill="1" applyBorder="1"/>
    <xf numFmtId="2" fontId="0" fillId="0" borderId="0" xfId="0" applyNumberFormat="1"/>
    <xf numFmtId="0" fontId="0" fillId="0" borderId="0" xfId="0" applyFill="1"/>
    <xf numFmtId="164" fontId="0" fillId="0" borderId="0" xfId="0" applyNumberFormat="1"/>
    <xf numFmtId="0" fontId="0" fillId="0" borderId="0" xfId="0" applyFill="1" applyBorder="1" applyAlignment="1">
      <alignment horizontal="center" vertical="center"/>
    </xf>
    <xf numFmtId="9" fontId="4" fillId="0" borderId="0" xfId="1" applyFont="1"/>
    <xf numFmtId="0" fontId="0" fillId="0" borderId="5" xfId="0" applyBorder="1"/>
    <xf numFmtId="0" fontId="0" fillId="0" borderId="8" xfId="0" applyBorder="1"/>
    <xf numFmtId="2" fontId="4" fillId="0" borderId="0" xfId="0" applyNumberFormat="1" applyFont="1" applyFill="1" applyBorder="1" applyAlignment="1">
      <alignment horizontal="center" vertical="center"/>
    </xf>
    <xf numFmtId="0" fontId="6" fillId="0" borderId="0" xfId="0" applyFont="1" applyFill="1" applyBorder="1"/>
    <xf numFmtId="0" fontId="0" fillId="0" borderId="0" xfId="0" applyFill="1" applyBorder="1" applyAlignment="1">
      <alignment horizontal="center"/>
    </xf>
    <xf numFmtId="0" fontId="7" fillId="0" borderId="0" xfId="0" applyFont="1" applyFill="1" applyBorder="1" applyAlignment="1">
      <alignment horizontal="right" vertical="center"/>
    </xf>
    <xf numFmtId="0" fontId="0" fillId="0" borderId="0" xfId="0" applyFill="1" applyBorder="1" applyAlignment="1">
      <alignment vertical="center"/>
    </xf>
    <xf numFmtId="0" fontId="4" fillId="0" borderId="0" xfId="0" applyFont="1" applyFill="1" applyBorder="1"/>
    <xf numFmtId="0" fontId="7" fillId="0" borderId="0" xfId="0" applyFont="1" applyFill="1" applyBorder="1" applyAlignment="1">
      <alignment horizontal="right" wrapText="1"/>
    </xf>
    <xf numFmtId="0" fontId="7" fillId="0" borderId="0" xfId="0" applyFont="1" applyFill="1" applyBorder="1" applyAlignment="1">
      <alignment horizontal="right"/>
    </xf>
    <xf numFmtId="0" fontId="8" fillId="0" borderId="0" xfId="0" applyFont="1" applyFill="1" applyBorder="1" applyAlignment="1">
      <alignment horizontal="right" vertical="center"/>
    </xf>
    <xf numFmtId="0" fontId="9" fillId="0" borderId="0" xfId="0" applyFont="1" applyFill="1" applyBorder="1" applyAlignment="1">
      <alignment horizontal="left" vertical="center" wrapText="1"/>
    </xf>
    <xf numFmtId="0" fontId="7" fillId="0" borderId="0" xfId="0" applyFont="1" applyFill="1" applyBorder="1" applyAlignment="1">
      <alignment horizontal="right" vertical="center" wrapText="1"/>
    </xf>
    <xf numFmtId="164" fontId="0" fillId="0" borderId="0" xfId="0" applyNumberFormat="1" applyFill="1" applyBorder="1" applyAlignment="1">
      <alignment horizontal="center" vertical="center"/>
    </xf>
    <xf numFmtId="0" fontId="9" fillId="0" borderId="0" xfId="0" applyFont="1" applyFill="1" applyBorder="1" applyAlignment="1">
      <alignment horizontal="left" vertical="top" wrapText="1"/>
    </xf>
    <xf numFmtId="2" fontId="0" fillId="0" borderId="0" xfId="0" applyNumberFormat="1" applyFill="1" applyBorder="1"/>
    <xf numFmtId="9" fontId="0" fillId="0" borderId="0" xfId="0" applyNumberFormat="1" applyFont="1" applyFill="1" applyBorder="1"/>
    <xf numFmtId="0" fontId="0" fillId="2" borderId="2" xfId="0" applyFill="1" applyBorder="1" applyAlignment="1">
      <alignment vertical="center"/>
    </xf>
    <xf numFmtId="0" fontId="0" fillId="0" borderId="4" xfId="0" applyBorder="1"/>
    <xf numFmtId="0" fontId="0" fillId="2" borderId="0" xfId="0" applyFill="1" applyBorder="1" applyAlignment="1" applyProtection="1">
      <alignment vertical="center"/>
    </xf>
    <xf numFmtId="0" fontId="0" fillId="2" borderId="0" xfId="0" applyFill="1" applyBorder="1" applyAlignment="1" applyProtection="1">
      <alignment horizontal="center" vertical="center"/>
    </xf>
    <xf numFmtId="0" fontId="0" fillId="0" borderId="7" xfId="0" applyBorder="1"/>
    <xf numFmtId="0" fontId="0" fillId="0" borderId="0" xfId="0" applyBorder="1" applyAlignment="1"/>
    <xf numFmtId="0" fontId="10" fillId="2" borderId="0" xfId="0" applyFont="1" applyFill="1" applyBorder="1" applyAlignment="1">
      <alignment vertical="center"/>
    </xf>
    <xf numFmtId="0" fontId="15" fillId="2" borderId="0" xfId="0" applyFont="1" applyFill="1" applyBorder="1" applyAlignment="1">
      <alignment vertical="center"/>
    </xf>
    <xf numFmtId="0" fontId="17" fillId="2" borderId="0" xfId="0" applyFont="1" applyFill="1" applyBorder="1" applyAlignment="1">
      <alignment vertical="center"/>
    </xf>
    <xf numFmtId="0" fontId="17" fillId="0" borderId="0" xfId="0" applyFont="1"/>
    <xf numFmtId="0" fontId="20" fillId="2" borderId="0" xfId="0" applyFont="1" applyFill="1" applyBorder="1" applyAlignment="1" applyProtection="1">
      <alignment vertical="center"/>
    </xf>
    <xf numFmtId="0" fontId="17" fillId="2" borderId="0" xfId="0" applyFont="1" applyFill="1" applyBorder="1"/>
    <xf numFmtId="0" fontId="17" fillId="2" borderId="1" xfId="0" applyFont="1" applyFill="1" applyBorder="1"/>
    <xf numFmtId="0" fontId="17" fillId="2" borderId="2" xfId="0" applyFont="1" applyFill="1" applyBorder="1"/>
    <xf numFmtId="0" fontId="17" fillId="2" borderId="3" xfId="0" applyFont="1" applyFill="1" applyBorder="1"/>
    <xf numFmtId="0" fontId="17" fillId="2" borderId="4" xfId="0" applyFont="1" applyFill="1" applyBorder="1"/>
    <xf numFmtId="0" fontId="17" fillId="2" borderId="5" xfId="0" applyFont="1" applyFill="1" applyBorder="1"/>
    <xf numFmtId="49" fontId="21" fillId="2" borderId="0" xfId="0" applyNumberFormat="1" applyFont="1" applyFill="1" applyBorder="1" applyAlignment="1">
      <alignment vertical="center"/>
    </xf>
    <xf numFmtId="0" fontId="17" fillId="2" borderId="0" xfId="0" applyFont="1" applyFill="1"/>
    <xf numFmtId="0" fontId="21" fillId="2" borderId="0" xfId="0" applyFont="1" applyFill="1" applyBorder="1" applyAlignment="1">
      <alignment vertical="center"/>
    </xf>
    <xf numFmtId="0" fontId="17" fillId="2" borderId="6" xfId="0" applyFont="1" applyFill="1" applyBorder="1"/>
    <xf numFmtId="0" fontId="17" fillId="2" borderId="7" xfId="0" applyFont="1" applyFill="1" applyBorder="1"/>
    <xf numFmtId="0" fontId="17" fillId="2" borderId="8" xfId="0" applyFont="1" applyFill="1" applyBorder="1"/>
    <xf numFmtId="0" fontId="17" fillId="2" borderId="0" xfId="0" applyFont="1" applyFill="1" applyBorder="1" applyAlignment="1">
      <alignment wrapText="1"/>
    </xf>
    <xf numFmtId="0" fontId="17" fillId="2" borderId="0" xfId="0" applyFont="1" applyFill="1" applyBorder="1" applyAlignment="1">
      <alignment horizontal="center" wrapText="1"/>
    </xf>
    <xf numFmtId="0" fontId="18" fillId="2" borderId="0" xfId="0" applyFont="1" applyFill="1" applyBorder="1"/>
    <xf numFmtId="0" fontId="17" fillId="2" borderId="7" xfId="0" applyFont="1" applyFill="1" applyBorder="1" applyAlignment="1">
      <alignment vertical="center"/>
    </xf>
    <xf numFmtId="49" fontId="21" fillId="2" borderId="0" xfId="0" applyNumberFormat="1" applyFont="1" applyFill="1" applyAlignment="1">
      <alignment vertical="center"/>
    </xf>
    <xf numFmtId="2" fontId="17" fillId="2" borderId="0" xfId="0" applyNumberFormat="1" applyFont="1" applyFill="1" applyBorder="1"/>
    <xf numFmtId="2" fontId="17" fillId="2" borderId="7" xfId="0" applyNumberFormat="1" applyFont="1" applyFill="1" applyBorder="1"/>
    <xf numFmtId="9" fontId="16" fillId="2" borderId="0" xfId="0" applyNumberFormat="1" applyFont="1" applyFill="1" applyBorder="1"/>
    <xf numFmtId="9" fontId="16" fillId="2" borderId="0" xfId="1" applyFont="1" applyFill="1" applyBorder="1"/>
    <xf numFmtId="0" fontId="17" fillId="31" borderId="0" xfId="0" applyFont="1" applyFill="1" applyBorder="1" applyProtection="1"/>
    <xf numFmtId="0" fontId="17" fillId="31" borderId="0" xfId="0" applyFont="1" applyFill="1" applyBorder="1"/>
    <xf numFmtId="2" fontId="17" fillId="31" borderId="5" xfId="0" applyNumberFormat="1" applyFont="1" applyFill="1" applyBorder="1" applyAlignment="1">
      <alignment horizontal="center"/>
    </xf>
    <xf numFmtId="164" fontId="17" fillId="31" borderId="5" xfId="0" applyNumberFormat="1" applyFont="1" applyFill="1" applyBorder="1" applyAlignment="1">
      <alignment horizontal="center"/>
    </xf>
    <xf numFmtId="2" fontId="17" fillId="31" borderId="0" xfId="0" applyNumberFormat="1" applyFont="1" applyFill="1" applyBorder="1"/>
    <xf numFmtId="2" fontId="17" fillId="31" borderId="5" xfId="0" applyNumberFormat="1" applyFont="1" applyFill="1" applyBorder="1" applyAlignment="1">
      <alignment horizontal="center" vertical="center"/>
    </xf>
    <xf numFmtId="0" fontId="17" fillId="0" borderId="0" xfId="0" applyFont="1" applyBorder="1"/>
    <xf numFmtId="0" fontId="21" fillId="0" borderId="0" xfId="0" applyFont="1" applyAlignment="1">
      <alignment vertical="center"/>
    </xf>
    <xf numFmtId="49" fontId="21" fillId="2" borderId="0" xfId="0" applyNumberFormat="1" applyFont="1" applyFill="1" applyBorder="1" applyAlignment="1">
      <alignment horizontal="right" vertical="center"/>
    </xf>
    <xf numFmtId="0" fontId="21" fillId="2" borderId="0" xfId="0" applyFont="1" applyFill="1" applyAlignment="1">
      <alignment vertical="center" wrapText="1"/>
    </xf>
    <xf numFmtId="0" fontId="19" fillId="0" borderId="0" xfId="0" applyFont="1" applyFill="1" applyBorder="1" applyAlignment="1">
      <alignment vertical="center"/>
    </xf>
    <xf numFmtId="0" fontId="0" fillId="0" borderId="0" xfId="0" applyBorder="1" applyAlignment="1">
      <alignment vertical="center"/>
    </xf>
    <xf numFmtId="0" fontId="20" fillId="0" borderId="0" xfId="0" applyFont="1" applyBorder="1"/>
    <xf numFmtId="0" fontId="19" fillId="2" borderId="5" xfId="0" applyFont="1" applyFill="1" applyBorder="1" applyAlignment="1">
      <alignment vertical="center"/>
    </xf>
    <xf numFmtId="0" fontId="16" fillId="2" borderId="0" xfId="0" applyFont="1" applyFill="1" applyBorder="1" applyAlignment="1">
      <alignment horizontal="left" vertical="center"/>
    </xf>
    <xf numFmtId="0" fontId="13" fillId="0" borderId="0" xfId="0" applyFont="1" applyFill="1" applyBorder="1" applyAlignment="1">
      <alignment wrapText="1"/>
    </xf>
    <xf numFmtId="0" fontId="2" fillId="0" borderId="0" xfId="0" applyFont="1" applyFill="1" applyBorder="1" applyAlignment="1"/>
    <xf numFmtId="0" fontId="16" fillId="0" borderId="0" xfId="0" applyFont="1"/>
    <xf numFmtId="0" fontId="17" fillId="0" borderId="0" xfId="0" applyFont="1" applyFill="1" applyBorder="1"/>
    <xf numFmtId="0" fontId="17" fillId="0" borderId="0" xfId="0" applyFont="1" applyBorder="1" applyAlignment="1">
      <alignment horizontal="center" wrapText="1"/>
    </xf>
    <xf numFmtId="0" fontId="17" fillId="0" borderId="21" xfId="0" applyFont="1" applyBorder="1" applyAlignment="1">
      <alignment wrapText="1"/>
    </xf>
    <xf numFmtId="0" fontId="17" fillId="0" borderId="0" xfId="0" applyFont="1" applyBorder="1" applyAlignment="1">
      <alignment wrapText="1"/>
    </xf>
    <xf numFmtId="0" fontId="16" fillId="0" borderId="0" xfId="0" applyFont="1" applyAlignment="1">
      <alignment wrapText="1"/>
    </xf>
    <xf numFmtId="0" fontId="17" fillId="0" borderId="26" xfId="2" applyNumberFormat="1" applyFont="1" applyBorder="1" applyAlignment="1">
      <alignment horizontal="left" vertical="center"/>
    </xf>
    <xf numFmtId="0" fontId="22" fillId="0" borderId="9" xfId="0" applyFont="1" applyBorder="1"/>
    <xf numFmtId="2" fontId="22" fillId="0" borderId="9" xfId="0" applyNumberFormat="1" applyFont="1" applyBorder="1" applyAlignment="1">
      <alignment horizontal="center"/>
    </xf>
    <xf numFmtId="165" fontId="22" fillId="0" borderId="9" xfId="0" applyNumberFormat="1" applyFont="1" applyBorder="1" applyAlignment="1">
      <alignment horizontal="center"/>
    </xf>
    <xf numFmtId="165" fontId="22" fillId="0" borderId="9" xfId="0" applyNumberFormat="1" applyFont="1" applyBorder="1" applyAlignment="1">
      <alignment horizontal="left"/>
    </xf>
    <xf numFmtId="2" fontId="22" fillId="0" borderId="9" xfId="0" applyNumberFormat="1" applyFont="1" applyBorder="1" applyAlignment="1">
      <alignment horizontal="left"/>
    </xf>
    <xf numFmtId="0" fontId="17" fillId="2" borderId="17" xfId="0" applyFont="1" applyFill="1" applyBorder="1"/>
    <xf numFmtId="2" fontId="17" fillId="2" borderId="21" xfId="0" applyNumberFormat="1" applyFont="1" applyFill="1" applyBorder="1"/>
    <xf numFmtId="0" fontId="22" fillId="0" borderId="0" xfId="0" applyFont="1" applyFill="1" applyBorder="1"/>
    <xf numFmtId="0" fontId="17" fillId="0" borderId="9" xfId="2" applyNumberFormat="1" applyFont="1" applyBorder="1" applyAlignment="1">
      <alignment horizontal="left" vertical="center"/>
    </xf>
    <xf numFmtId="0" fontId="17" fillId="0" borderId="9" xfId="0" applyFont="1" applyBorder="1" applyAlignment="1">
      <alignment horizontal="left" vertical="center"/>
    </xf>
    <xf numFmtId="0" fontId="17" fillId="0" borderId="9" xfId="2" applyFont="1" applyBorder="1" applyAlignment="1">
      <alignment horizontal="left" vertical="center"/>
    </xf>
    <xf numFmtId="2" fontId="17" fillId="0" borderId="9" xfId="0" applyNumberFormat="1" applyFont="1" applyBorder="1" applyAlignment="1">
      <alignment horizontal="center"/>
    </xf>
    <xf numFmtId="2" fontId="17" fillId="0" borderId="25" xfId="0" applyNumberFormat="1" applyFont="1" applyBorder="1" applyAlignment="1">
      <alignment horizontal="center"/>
    </xf>
    <xf numFmtId="0" fontId="17" fillId="0" borderId="25" xfId="0" applyFont="1" applyBorder="1" applyAlignment="1">
      <alignment horizontal="left"/>
    </xf>
    <xf numFmtId="2" fontId="17" fillId="0" borderId="0" xfId="0" applyNumberFormat="1" applyFont="1" applyFill="1" applyBorder="1"/>
    <xf numFmtId="0" fontId="17" fillId="0" borderId="9" xfId="0" applyFont="1" applyBorder="1"/>
    <xf numFmtId="165" fontId="17" fillId="0" borderId="9" xfId="0" applyNumberFormat="1" applyFont="1" applyBorder="1" applyAlignment="1">
      <alignment horizontal="left"/>
    </xf>
    <xf numFmtId="2" fontId="17" fillId="2" borderId="21" xfId="0" applyNumberFormat="1" applyFont="1" applyFill="1" applyBorder="1" applyProtection="1">
      <protection locked="0"/>
    </xf>
    <xf numFmtId="0" fontId="16" fillId="0" borderId="20" xfId="0" applyFont="1" applyBorder="1"/>
    <xf numFmtId="0" fontId="16" fillId="0" borderId="28" xfId="0" applyFont="1" applyBorder="1"/>
    <xf numFmtId="0" fontId="16" fillId="0" borderId="18" xfId="0" applyFont="1" applyBorder="1"/>
    <xf numFmtId="0" fontId="17" fillId="0" borderId="12" xfId="0" applyFont="1" applyBorder="1"/>
    <xf numFmtId="0" fontId="17" fillId="0" borderId="10" xfId="0" applyFont="1" applyBorder="1"/>
    <xf numFmtId="0" fontId="17" fillId="0" borderId="15" xfId="0" applyFont="1" applyBorder="1"/>
    <xf numFmtId="2" fontId="17" fillId="7" borderId="9" xfId="0" applyNumberFormat="1" applyFont="1" applyFill="1" applyBorder="1" applyAlignment="1">
      <alignment horizontal="center"/>
    </xf>
    <xf numFmtId="2" fontId="17" fillId="7" borderId="9" xfId="0" applyNumberFormat="1" applyFont="1" applyFill="1" applyBorder="1" applyAlignment="1">
      <alignment horizontal="left"/>
    </xf>
    <xf numFmtId="165" fontId="17" fillId="0" borderId="25" xfId="0" applyNumberFormat="1" applyFont="1" applyBorder="1" applyAlignment="1">
      <alignment horizontal="left"/>
    </xf>
    <xf numFmtId="2" fontId="17" fillId="0" borderId="25" xfId="0" applyNumberFormat="1" applyFont="1" applyBorder="1" applyAlignment="1">
      <alignment horizontal="left"/>
    </xf>
    <xf numFmtId="165" fontId="17" fillId="0" borderId="0" xfId="0" applyNumberFormat="1" applyFont="1" applyBorder="1" applyAlignment="1">
      <alignment horizontal="center"/>
    </xf>
    <xf numFmtId="165" fontId="17" fillId="0" borderId="0" xfId="0" applyNumberFormat="1" applyFont="1" applyBorder="1" applyAlignment="1">
      <alignment horizontal="left"/>
    </xf>
    <xf numFmtId="0" fontId="17" fillId="0" borderId="0" xfId="0" applyFont="1" applyBorder="1" applyAlignment="1">
      <alignment horizontal="center"/>
    </xf>
    <xf numFmtId="0" fontId="16" fillId="2" borderId="7" xfId="0" applyFont="1" applyFill="1" applyBorder="1" applyAlignment="1">
      <alignment horizontal="left" vertical="center"/>
    </xf>
    <xf numFmtId="0" fontId="17" fillId="2" borderId="0" xfId="0" applyFont="1" applyFill="1" applyBorder="1" applyProtection="1"/>
    <xf numFmtId="2" fontId="17" fillId="2" borderId="5" xfId="0" applyNumberFormat="1" applyFont="1" applyFill="1" applyBorder="1" applyAlignment="1">
      <alignment horizontal="center"/>
    </xf>
    <xf numFmtId="2" fontId="0" fillId="0" borderId="0" xfId="0" applyNumberFormat="1" applyFill="1" applyAlignment="1">
      <alignment wrapText="1"/>
    </xf>
    <xf numFmtId="2" fontId="17" fillId="0" borderId="0" xfId="0" applyNumberFormat="1" applyFont="1" applyFill="1" applyBorder="1" applyAlignment="1">
      <alignment vertical="center"/>
    </xf>
    <xf numFmtId="2" fontId="17" fillId="0" borderId="5" xfId="0" applyNumberFormat="1" applyFont="1" applyBorder="1"/>
    <xf numFmtId="2" fontId="17" fillId="0" borderId="8" xfId="0" applyNumberFormat="1" applyFont="1" applyBorder="1"/>
    <xf numFmtId="0" fontId="16" fillId="0" borderId="39" xfId="0" applyFont="1" applyBorder="1"/>
    <xf numFmtId="0" fontId="16" fillId="0" borderId="29" xfId="0" applyFont="1" applyBorder="1" applyAlignment="1">
      <alignment wrapText="1"/>
    </xf>
    <xf numFmtId="0" fontId="16" fillId="0" borderId="40" xfId="0" applyFont="1" applyBorder="1"/>
    <xf numFmtId="0" fontId="17" fillId="0" borderId="30" xfId="0" applyFont="1" applyBorder="1"/>
    <xf numFmtId="0" fontId="17" fillId="0" borderId="30" xfId="0" applyFont="1" applyFill="1" applyBorder="1"/>
    <xf numFmtId="0" fontId="17" fillId="0" borderId="31" xfId="0" applyFont="1" applyBorder="1"/>
    <xf numFmtId="0" fontId="16" fillId="0" borderId="27" xfId="0" applyFont="1" applyBorder="1" applyAlignment="1">
      <alignment wrapText="1"/>
    </xf>
    <xf numFmtId="0" fontId="17" fillId="0" borderId="21" xfId="0" applyFont="1" applyBorder="1"/>
    <xf numFmtId="0" fontId="17" fillId="0" borderId="21" xfId="0" applyFont="1" applyFill="1" applyBorder="1"/>
    <xf numFmtId="0" fontId="17" fillId="0" borderId="38" xfId="0" applyFont="1" applyBorder="1"/>
    <xf numFmtId="2" fontId="17" fillId="0" borderId="21" xfId="0" applyNumberFormat="1" applyFont="1" applyBorder="1"/>
    <xf numFmtId="2" fontId="17" fillId="0" borderId="21" xfId="0" applyNumberFormat="1" applyFont="1" applyFill="1" applyBorder="1"/>
    <xf numFmtId="2" fontId="17" fillId="0" borderId="38" xfId="0" applyNumberFormat="1" applyFont="1" applyBorder="1"/>
    <xf numFmtId="0" fontId="17" fillId="0" borderId="5" xfId="0" applyFont="1" applyBorder="1"/>
    <xf numFmtId="0" fontId="17" fillId="0" borderId="8" xfId="0" applyFont="1" applyBorder="1"/>
    <xf numFmtId="0" fontId="17" fillId="0" borderId="43" xfId="0" applyFont="1" applyBorder="1" applyAlignment="1">
      <alignment wrapText="1"/>
    </xf>
    <xf numFmtId="0" fontId="16" fillId="0" borderId="44" xfId="0" applyFont="1" applyBorder="1" applyAlignment="1">
      <alignment wrapText="1"/>
    </xf>
    <xf numFmtId="0" fontId="16" fillId="0" borderId="42" xfId="0" applyFont="1" applyBorder="1" applyAlignment="1">
      <alignment wrapText="1"/>
    </xf>
    <xf numFmtId="0" fontId="17" fillId="0" borderId="17" xfId="0" applyFont="1" applyFill="1" applyBorder="1"/>
    <xf numFmtId="0" fontId="17" fillId="0" borderId="7" xfId="0" applyFont="1" applyBorder="1" applyAlignment="1">
      <alignment wrapText="1"/>
    </xf>
    <xf numFmtId="2" fontId="22" fillId="2" borderId="28" xfId="0" applyNumberFormat="1" applyFont="1" applyFill="1" applyBorder="1" applyAlignment="1">
      <alignment horizontal="left"/>
    </xf>
    <xf numFmtId="2" fontId="22" fillId="2" borderId="9" xfId="0" applyNumberFormat="1" applyFont="1" applyFill="1" applyBorder="1" applyAlignment="1">
      <alignment horizontal="left"/>
    </xf>
    <xf numFmtId="2" fontId="22" fillId="2" borderId="25" xfId="0" applyNumberFormat="1" applyFont="1" applyFill="1" applyBorder="1" applyAlignment="1">
      <alignment horizontal="left"/>
    </xf>
    <xf numFmtId="0" fontId="17" fillId="0" borderId="0" xfId="0" applyFont="1" applyBorder="1" applyAlignment="1">
      <alignment horizontal="left" vertical="center"/>
    </xf>
    <xf numFmtId="2" fontId="17" fillId="37" borderId="9" xfId="0" applyNumberFormat="1" applyFont="1" applyFill="1" applyBorder="1" applyAlignment="1">
      <alignment horizontal="center"/>
    </xf>
    <xf numFmtId="2" fontId="22" fillId="37" borderId="9" xfId="0" applyNumberFormat="1" applyFont="1" applyFill="1" applyBorder="1" applyAlignment="1">
      <alignment horizontal="center"/>
    </xf>
    <xf numFmtId="2" fontId="17" fillId="37" borderId="9" xfId="0" applyNumberFormat="1" applyFont="1" applyFill="1" applyBorder="1" applyAlignment="1">
      <alignment horizontal="left"/>
    </xf>
    <xf numFmtId="2" fontId="22" fillId="37" borderId="9" xfId="0" applyNumberFormat="1" applyFont="1" applyFill="1" applyBorder="1" applyAlignment="1">
      <alignment horizontal="left"/>
    </xf>
    <xf numFmtId="0" fontId="21" fillId="2" borderId="0" xfId="0" applyFont="1" applyFill="1" applyBorder="1" applyAlignment="1">
      <alignment horizontal="left" vertical="center"/>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xf>
    <xf numFmtId="0" fontId="21" fillId="2" borderId="0" xfId="0" applyFont="1" applyFill="1" applyBorder="1" applyAlignment="1">
      <alignment horizontal="center" vertical="center" wrapText="1"/>
    </xf>
    <xf numFmtId="0" fontId="15" fillId="2" borderId="0" xfId="0" applyFont="1" applyFill="1" applyBorder="1" applyAlignment="1">
      <alignment horizontal="left" vertical="center"/>
    </xf>
    <xf numFmtId="165" fontId="22" fillId="0" borderId="25" xfId="0" applyNumberFormat="1" applyFont="1" applyBorder="1" applyAlignment="1">
      <alignment horizontal="center"/>
    </xf>
    <xf numFmtId="165" fontId="22" fillId="0" borderId="25" xfId="0" applyNumberFormat="1" applyFont="1" applyBorder="1" applyAlignment="1">
      <alignment horizontal="left"/>
    </xf>
    <xf numFmtId="0" fontId="17" fillId="0" borderId="25" xfId="0" applyFont="1" applyBorder="1" applyAlignment="1">
      <alignment horizontal="left" vertical="center"/>
    </xf>
    <xf numFmtId="0" fontId="17" fillId="0" borderId="25" xfId="0" applyFont="1" applyBorder="1"/>
    <xf numFmtId="2" fontId="22" fillId="2" borderId="21" xfId="0" applyNumberFormat="1" applyFont="1" applyFill="1" applyBorder="1" applyAlignment="1">
      <alignment horizontal="left"/>
    </xf>
    <xf numFmtId="2" fontId="17" fillId="2" borderId="9" xfId="0" applyNumberFormat="1" applyFont="1" applyFill="1" applyBorder="1"/>
    <xf numFmtId="0" fontId="17" fillId="0" borderId="26" xfId="0" applyFont="1" applyBorder="1"/>
    <xf numFmtId="2" fontId="17" fillId="2" borderId="48" xfId="0" applyNumberFormat="1" applyFont="1" applyFill="1" applyBorder="1"/>
    <xf numFmtId="0" fontId="17" fillId="0" borderId="45" xfId="0" applyFont="1" applyBorder="1"/>
    <xf numFmtId="0" fontId="17" fillId="0" borderId="46" xfId="0" applyFont="1" applyBorder="1"/>
    <xf numFmtId="0" fontId="17" fillId="0" borderId="49" xfId="0" applyFont="1" applyBorder="1"/>
    <xf numFmtId="2" fontId="17" fillId="2" borderId="28" xfId="0" applyNumberFormat="1" applyFont="1" applyFill="1" applyBorder="1"/>
    <xf numFmtId="2" fontId="17" fillId="2" borderId="50" xfId="0" applyNumberFormat="1" applyFont="1" applyFill="1" applyBorder="1"/>
    <xf numFmtId="0" fontId="13" fillId="2" borderId="53" xfId="0" applyFont="1" applyFill="1" applyBorder="1"/>
    <xf numFmtId="0" fontId="13" fillId="2" borderId="29" xfId="0" applyFont="1" applyFill="1" applyBorder="1"/>
    <xf numFmtId="0" fontId="13" fillId="2" borderId="35" xfId="0" applyFont="1" applyFill="1" applyBorder="1"/>
    <xf numFmtId="0" fontId="17" fillId="0" borderId="43" xfId="0" applyFont="1" applyBorder="1"/>
    <xf numFmtId="2" fontId="17" fillId="2" borderId="44" xfId="0" applyNumberFormat="1" applyFont="1" applyFill="1" applyBorder="1"/>
    <xf numFmtId="2" fontId="17" fillId="2" borderId="47" xfId="0" applyNumberFormat="1" applyFont="1" applyFill="1" applyBorder="1"/>
    <xf numFmtId="2" fontId="0" fillId="2" borderId="9" xfId="0" applyNumberFormat="1" applyFill="1" applyBorder="1"/>
    <xf numFmtId="2" fontId="0" fillId="2" borderId="44" xfId="0" applyNumberFormat="1" applyFill="1" applyBorder="1"/>
    <xf numFmtId="2" fontId="0" fillId="2" borderId="47" xfId="0" applyNumberFormat="1" applyFill="1" applyBorder="1"/>
    <xf numFmtId="2" fontId="0" fillId="2" borderId="48" xfId="0" applyNumberFormat="1" applyFill="1" applyBorder="1"/>
    <xf numFmtId="2" fontId="0" fillId="2" borderId="46" xfId="0" applyNumberFormat="1" applyFill="1" applyBorder="1"/>
    <xf numFmtId="2" fontId="0" fillId="2" borderId="49" xfId="0" applyNumberFormat="1" applyFill="1" applyBorder="1"/>
    <xf numFmtId="2" fontId="17" fillId="2" borderId="43" xfId="0" applyNumberFormat="1" applyFont="1" applyFill="1" applyBorder="1"/>
    <xf numFmtId="2" fontId="17" fillId="2" borderId="26" xfId="0" applyNumberFormat="1" applyFont="1" applyFill="1" applyBorder="1"/>
    <xf numFmtId="2" fontId="17" fillId="2" borderId="20" xfId="0" applyNumberFormat="1" applyFont="1" applyFill="1" applyBorder="1"/>
    <xf numFmtId="2" fontId="17" fillId="2" borderId="12" xfId="0" applyNumberFormat="1" applyFont="1" applyFill="1" applyBorder="1"/>
    <xf numFmtId="0" fontId="17" fillId="0" borderId="54" xfId="0" applyFont="1" applyBorder="1"/>
    <xf numFmtId="2" fontId="17" fillId="2" borderId="40" xfId="0" applyNumberFormat="1" applyFont="1" applyFill="1" applyBorder="1"/>
    <xf numFmtId="0" fontId="13" fillId="2" borderId="32" xfId="0" applyFont="1" applyFill="1" applyBorder="1"/>
    <xf numFmtId="0" fontId="17" fillId="0" borderId="55" xfId="0" applyFont="1" applyBorder="1"/>
    <xf numFmtId="0" fontId="17" fillId="0" borderId="56" xfId="0" applyFont="1" applyBorder="1"/>
    <xf numFmtId="0" fontId="17" fillId="0" borderId="57" xfId="0" applyFont="1" applyBorder="1"/>
    <xf numFmtId="0" fontId="13" fillId="2" borderId="1" xfId="0" applyFont="1" applyFill="1" applyBorder="1"/>
    <xf numFmtId="0" fontId="17" fillId="0" borderId="58" xfId="0" applyFont="1" applyBorder="1"/>
    <xf numFmtId="2" fontId="17" fillId="2" borderId="59" xfId="0" applyNumberFormat="1" applyFont="1" applyFill="1" applyBorder="1"/>
    <xf numFmtId="2" fontId="0" fillId="2" borderId="59" xfId="0" applyNumberFormat="1" applyFill="1" applyBorder="1"/>
    <xf numFmtId="2" fontId="0" fillId="2" borderId="12" xfId="0" applyNumberFormat="1" applyFill="1" applyBorder="1"/>
    <xf numFmtId="2" fontId="0" fillId="2" borderId="43" xfId="0" applyNumberFormat="1" applyFill="1" applyBorder="1"/>
    <xf numFmtId="2" fontId="0" fillId="2" borderId="26" xfId="0" applyNumberFormat="1" applyFill="1" applyBorder="1"/>
    <xf numFmtId="2" fontId="0" fillId="2" borderId="54" xfId="0" applyNumberFormat="1" applyFill="1" applyBorder="1"/>
    <xf numFmtId="0" fontId="17" fillId="0" borderId="0" xfId="0" applyFont="1" applyFill="1"/>
    <xf numFmtId="0" fontId="17" fillId="0" borderId="7" xfId="0" applyFont="1" applyFill="1" applyBorder="1"/>
    <xf numFmtId="0" fontId="6" fillId="0" borderId="0" xfId="0" applyFont="1"/>
    <xf numFmtId="0" fontId="15" fillId="2" borderId="0" xfId="0" applyFont="1" applyFill="1" applyBorder="1" applyAlignment="1" applyProtection="1">
      <alignment vertical="center"/>
    </xf>
    <xf numFmtId="0" fontId="21" fillId="34" borderId="0" xfId="0" applyFont="1" applyFill="1" applyBorder="1" applyAlignment="1">
      <alignment horizontal="left" vertical="center"/>
    </xf>
    <xf numFmtId="0" fontId="21" fillId="31" borderId="0" xfId="0" applyFont="1" applyFill="1" applyBorder="1" applyAlignment="1">
      <alignment horizontal="left" vertical="center"/>
    </xf>
    <xf numFmtId="0" fontId="15" fillId="2" borderId="0" xfId="0" applyFont="1" applyFill="1" applyBorder="1" applyAlignment="1" applyProtection="1">
      <alignment horizontal="left" vertical="center"/>
    </xf>
    <xf numFmtId="0" fontId="15" fillId="2" borderId="9" xfId="0" applyFont="1" applyFill="1" applyBorder="1" applyAlignment="1">
      <alignment horizontal="left" vertical="center" wrapText="1"/>
    </xf>
    <xf numFmtId="0" fontId="21" fillId="33" borderId="9"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15" fillId="2" borderId="0" xfId="0" applyFont="1" applyFill="1" applyBorder="1" applyAlignment="1" applyProtection="1">
      <alignment vertical="center" wrapText="1"/>
    </xf>
    <xf numFmtId="0" fontId="15" fillId="2" borderId="0" xfId="0" applyFont="1" applyFill="1" applyBorder="1" applyAlignment="1">
      <alignment horizontal="left" vertical="center" wrapText="1"/>
    </xf>
    <xf numFmtId="0" fontId="21" fillId="7" borderId="0"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20" borderId="0" xfId="0" applyFont="1" applyFill="1" applyBorder="1" applyAlignment="1">
      <alignment horizontal="left" vertical="center" wrapText="1"/>
    </xf>
    <xf numFmtId="0" fontId="21" fillId="8" borderId="0" xfId="0" applyFont="1" applyFill="1" applyBorder="1" applyAlignment="1">
      <alignment horizontal="left" vertical="center" wrapText="1"/>
    </xf>
    <xf numFmtId="0" fontId="21" fillId="6" borderId="0" xfId="0" applyFont="1" applyFill="1" applyBorder="1" applyAlignment="1">
      <alignment horizontal="left" vertical="center" wrapText="1"/>
    </xf>
    <xf numFmtId="0" fontId="21" fillId="21" borderId="0"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21" fillId="12" borderId="0" xfId="0" applyFont="1" applyFill="1" applyBorder="1" applyAlignment="1">
      <alignment horizontal="left" vertical="center" wrapText="1"/>
    </xf>
    <xf numFmtId="0" fontId="21" fillId="22" borderId="0" xfId="0" applyFont="1" applyFill="1" applyBorder="1" applyAlignment="1">
      <alignment horizontal="left" vertical="center" wrapText="1"/>
    </xf>
    <xf numFmtId="0" fontId="21" fillId="10" borderId="0" xfId="0" applyFont="1" applyFill="1" applyBorder="1" applyAlignment="1">
      <alignment horizontal="left" vertical="center" wrapText="1"/>
    </xf>
    <xf numFmtId="0" fontId="21" fillId="13" borderId="0" xfId="0" applyFont="1" applyFill="1" applyBorder="1" applyAlignment="1">
      <alignment horizontal="left" vertical="center" wrapText="1"/>
    </xf>
    <xf numFmtId="0" fontId="21" fillId="2" borderId="0" xfId="0" applyFont="1" applyFill="1" applyBorder="1" applyAlignment="1">
      <alignment vertical="center" wrapText="1"/>
    </xf>
    <xf numFmtId="0" fontId="21" fillId="11" borderId="0" xfId="0" applyFont="1" applyFill="1" applyBorder="1" applyAlignment="1">
      <alignment horizontal="left" vertical="center" wrapText="1"/>
    </xf>
    <xf numFmtId="0" fontId="21" fillId="4" borderId="0" xfId="0" applyFont="1" applyFill="1" applyBorder="1" applyAlignment="1">
      <alignment vertical="center"/>
    </xf>
    <xf numFmtId="0" fontId="21" fillId="18" borderId="0" xfId="0" applyFont="1" applyFill="1" applyBorder="1" applyAlignment="1">
      <alignment horizontal="left" vertical="center" wrapText="1"/>
    </xf>
    <xf numFmtId="0" fontId="21" fillId="19" borderId="0" xfId="0" applyFont="1" applyFill="1" applyBorder="1" applyAlignment="1">
      <alignment horizontal="left" vertical="center" wrapText="1"/>
    </xf>
    <xf numFmtId="0" fontId="21" fillId="14" borderId="0" xfId="0" applyFont="1" applyFill="1" applyBorder="1" applyAlignment="1">
      <alignment horizontal="left" vertical="center" wrapText="1"/>
    </xf>
    <xf numFmtId="0" fontId="21" fillId="23" borderId="0" xfId="0" applyFont="1" applyFill="1" applyBorder="1" applyAlignment="1">
      <alignment horizontal="left" vertical="center" wrapText="1"/>
    </xf>
    <xf numFmtId="0" fontId="21" fillId="15" borderId="0" xfId="0" applyFont="1" applyFill="1" applyBorder="1" applyAlignment="1">
      <alignment horizontal="left" vertical="center" wrapText="1"/>
    </xf>
    <xf numFmtId="0" fontId="21" fillId="24" borderId="0" xfId="0" applyFont="1" applyFill="1" applyBorder="1" applyAlignment="1">
      <alignment horizontal="left" vertical="center" wrapText="1"/>
    </xf>
    <xf numFmtId="0" fontId="21" fillId="16" borderId="0" xfId="0" applyFont="1" applyFill="1" applyBorder="1" applyAlignment="1">
      <alignment horizontal="left" vertical="center" wrapText="1"/>
    </xf>
    <xf numFmtId="0" fontId="21" fillId="25" borderId="0" xfId="0" applyFont="1" applyFill="1" applyBorder="1" applyAlignment="1">
      <alignment horizontal="left" vertical="center" wrapText="1"/>
    </xf>
    <xf numFmtId="0" fontId="21" fillId="17" borderId="0" xfId="0" applyFont="1" applyFill="1" applyBorder="1" applyAlignment="1">
      <alignment horizontal="left" vertical="center" wrapText="1"/>
    </xf>
    <xf numFmtId="0" fontId="21" fillId="26" borderId="0" xfId="0" applyFont="1" applyFill="1" applyBorder="1" applyAlignment="1">
      <alignment horizontal="left" vertical="center" wrapText="1"/>
    </xf>
    <xf numFmtId="0" fontId="21" fillId="27" borderId="0"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21" fillId="28" borderId="0" xfId="0" applyFont="1" applyFill="1" applyBorder="1" applyAlignment="1">
      <alignment horizontal="left" vertical="center" wrapText="1"/>
    </xf>
    <xf numFmtId="0" fontId="21" fillId="29" borderId="0" xfId="0" applyFont="1" applyFill="1" applyBorder="1" applyAlignment="1">
      <alignment horizontal="left" vertical="center" wrapText="1"/>
    </xf>
    <xf numFmtId="0" fontId="21" fillId="30" borderId="0" xfId="0" applyFont="1" applyFill="1" applyBorder="1" applyAlignment="1">
      <alignment horizontal="left" vertical="center" wrapText="1"/>
    </xf>
    <xf numFmtId="0" fontId="6" fillId="2" borderId="0" xfId="0" applyFont="1" applyFill="1" applyBorder="1"/>
    <xf numFmtId="0" fontId="6" fillId="2" borderId="0" xfId="0" applyFont="1" applyFill="1"/>
    <xf numFmtId="0" fontId="21" fillId="2" borderId="0" xfId="0" applyFont="1" applyFill="1" applyBorder="1"/>
    <xf numFmtId="0" fontId="23" fillId="2" borderId="0" xfId="0" applyFont="1" applyFill="1" applyBorder="1" applyAlignment="1">
      <alignment horizontal="left" vertical="top" indent="2"/>
    </xf>
    <xf numFmtId="0" fontId="21" fillId="0" borderId="0" xfId="0" applyFont="1" applyBorder="1"/>
    <xf numFmtId="0" fontId="15" fillId="2" borderId="0" xfId="0" applyFont="1" applyFill="1" applyBorder="1"/>
    <xf numFmtId="0" fontId="21" fillId="2" borderId="0" xfId="0" applyFont="1" applyFill="1" applyBorder="1" applyAlignment="1">
      <alignment horizontal="center"/>
    </xf>
    <xf numFmtId="0" fontId="15" fillId="2" borderId="9" xfId="0" applyFont="1" applyFill="1" applyBorder="1" applyAlignment="1" applyProtection="1">
      <protection locked="0"/>
    </xf>
    <xf numFmtId="0" fontId="21" fillId="0" borderId="0" xfId="0" applyFont="1" applyFill="1"/>
    <xf numFmtId="0" fontId="21" fillId="2" borderId="4" xfId="0" applyFont="1" applyFill="1" applyBorder="1"/>
    <xf numFmtId="0" fontId="15" fillId="2" borderId="0" xfId="0" applyFont="1" applyFill="1" applyBorder="1" applyAlignment="1">
      <alignment horizontal="center" vertical="center" wrapText="1"/>
    </xf>
    <xf numFmtId="0" fontId="21" fillId="2" borderId="5" xfId="0" applyFont="1" applyFill="1" applyBorder="1"/>
    <xf numFmtId="0" fontId="27" fillId="2" borderId="0" xfId="0" applyFont="1" applyFill="1" applyBorder="1" applyAlignment="1">
      <alignment horizontal="left" vertical="top" wrapText="1"/>
    </xf>
    <xf numFmtId="0" fontId="27" fillId="2" borderId="0" xfId="0" applyFont="1" applyFill="1" applyBorder="1" applyAlignment="1">
      <alignment horizontal="left" vertical="center" wrapText="1"/>
    </xf>
    <xf numFmtId="0" fontId="21" fillId="2" borderId="0" xfId="0" applyFont="1" applyFill="1" applyAlignment="1">
      <alignment vertical="center"/>
    </xf>
    <xf numFmtId="0" fontId="21" fillId="34" borderId="0"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protection locked="0"/>
    </xf>
    <xf numFmtId="0" fontId="21" fillId="2" borderId="0" xfId="0" applyFont="1" applyFill="1" applyBorder="1" applyAlignment="1">
      <alignment horizontal="right" vertical="center"/>
    </xf>
    <xf numFmtId="0" fontId="21" fillId="0" borderId="0" xfId="0" applyFont="1" applyFill="1" applyBorder="1" applyAlignment="1">
      <alignment horizontal="center" vertical="center"/>
    </xf>
    <xf numFmtId="0" fontId="29" fillId="2" borderId="0" xfId="0" applyFont="1" applyFill="1" applyBorder="1" applyAlignment="1">
      <alignment vertical="center"/>
    </xf>
    <xf numFmtId="0" fontId="21" fillId="31"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Border="1" applyAlignment="1">
      <alignment horizontal="right" vertical="center" wrapText="1"/>
    </xf>
    <xf numFmtId="1" fontId="15" fillId="2" borderId="0" xfId="0" applyNumberFormat="1" applyFont="1" applyFill="1" applyBorder="1" applyAlignment="1">
      <alignment horizontal="center" vertical="center"/>
    </xf>
    <xf numFmtId="0" fontId="15" fillId="2" borderId="0" xfId="0" applyFont="1" applyFill="1" applyBorder="1" applyAlignment="1">
      <alignment horizontal="right" vertical="center"/>
    </xf>
    <xf numFmtId="0" fontId="21" fillId="0" borderId="0" xfId="0" applyFont="1" applyFill="1" applyAlignment="1">
      <alignment horizontal="center" vertical="center"/>
    </xf>
    <xf numFmtId="0" fontId="21" fillId="2" borderId="19" xfId="0" applyFont="1" applyFill="1" applyBorder="1" applyAlignment="1">
      <alignment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15" fillId="2" borderId="19" xfId="0" applyFont="1" applyFill="1" applyBorder="1" applyAlignment="1">
      <alignment horizontal="right" vertical="center"/>
    </xf>
    <xf numFmtId="1" fontId="15" fillId="31" borderId="0" xfId="0" applyNumberFormat="1" applyFont="1" applyFill="1" applyBorder="1" applyAlignment="1" applyProtection="1">
      <alignment horizontal="center" vertical="center"/>
      <protection locked="0"/>
    </xf>
    <xf numFmtId="0" fontId="21" fillId="0" borderId="7" xfId="0" applyFont="1" applyFill="1" applyBorder="1"/>
    <xf numFmtId="0" fontId="21" fillId="0" borderId="8" xfId="0" applyFont="1" applyFill="1" applyBorder="1"/>
    <xf numFmtId="0" fontId="27" fillId="2" borderId="0" xfId="0" applyFont="1" applyFill="1" applyBorder="1" applyAlignment="1">
      <alignment vertical="center" wrapText="1"/>
    </xf>
    <xf numFmtId="0" fontId="27" fillId="2" borderId="0" xfId="0" applyFont="1" applyFill="1" applyBorder="1" applyAlignment="1">
      <alignment vertical="top" wrapText="1"/>
    </xf>
    <xf numFmtId="0" fontId="21" fillId="0" borderId="7" xfId="0" applyFont="1" applyFill="1" applyBorder="1" applyAlignment="1">
      <alignment horizontal="center" vertical="center"/>
    </xf>
    <xf numFmtId="0" fontId="21" fillId="34" borderId="0" xfId="0" applyFont="1" applyFill="1" applyBorder="1" applyAlignment="1" applyProtection="1">
      <alignment horizontal="center" vertical="center" wrapText="1"/>
      <protection locked="0"/>
    </xf>
    <xf numFmtId="0" fontId="21" fillId="2" borderId="17" xfId="0" applyFont="1" applyFill="1" applyBorder="1" applyAlignment="1">
      <alignment vertical="center"/>
    </xf>
    <xf numFmtId="0" fontId="21" fillId="2" borderId="14" xfId="0" applyFont="1" applyFill="1" applyBorder="1" applyAlignment="1">
      <alignment vertical="center"/>
    </xf>
    <xf numFmtId="0" fontId="21" fillId="2" borderId="0" xfId="0" applyFont="1" applyFill="1" applyAlignment="1">
      <alignment horizontal="center" vertical="center"/>
    </xf>
    <xf numFmtId="0" fontId="21" fillId="34" borderId="0" xfId="0" applyFont="1" applyFill="1" applyBorder="1" applyAlignment="1" applyProtection="1">
      <alignment vertical="center"/>
      <protection locked="0"/>
    </xf>
    <xf numFmtId="0" fontId="21" fillId="2" borderId="0" xfId="0" applyFont="1" applyFill="1" applyBorder="1" applyAlignment="1" applyProtection="1">
      <alignment vertical="center"/>
      <protection locked="0"/>
    </xf>
    <xf numFmtId="1" fontId="21" fillId="34" borderId="0" xfId="0" applyNumberFormat="1" applyFont="1" applyFill="1" applyBorder="1" applyAlignment="1" applyProtection="1">
      <alignment horizontal="center" vertical="center"/>
      <protection locked="0"/>
    </xf>
    <xf numFmtId="1"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center" vertical="center"/>
    </xf>
    <xf numFmtId="1" fontId="21" fillId="2" borderId="0" xfId="0" applyNumberFormat="1" applyFont="1" applyFill="1" applyBorder="1" applyAlignment="1">
      <alignment vertical="center"/>
    </xf>
    <xf numFmtId="2" fontId="21" fillId="35" borderId="0" xfId="0" applyNumberFormat="1" applyFont="1" applyFill="1" applyBorder="1" applyAlignment="1">
      <alignment horizontal="center" vertical="center"/>
    </xf>
    <xf numFmtId="2" fontId="21" fillId="35" borderId="0" xfId="0" applyNumberFormat="1" applyFont="1" applyFill="1" applyBorder="1" applyAlignment="1">
      <alignment horizontal="center" vertical="center" wrapText="1"/>
    </xf>
    <xf numFmtId="2" fontId="21" fillId="31" borderId="0" xfId="0" applyNumberFormat="1" applyFont="1" applyFill="1" applyBorder="1" applyAlignment="1">
      <alignment horizontal="center" vertical="center"/>
    </xf>
    <xf numFmtId="2" fontId="15" fillId="2" borderId="0" xfId="0" applyNumberFormat="1" applyFont="1" applyFill="1" applyBorder="1" applyAlignment="1">
      <alignment horizontal="center" vertical="center"/>
    </xf>
    <xf numFmtId="0" fontId="27" fillId="2" borderId="19" xfId="0" applyFont="1" applyFill="1" applyBorder="1" applyAlignment="1">
      <alignment horizontal="left" vertical="center" wrapText="1"/>
    </xf>
    <xf numFmtId="2" fontId="21" fillId="31" borderId="0" xfId="0" applyNumberFormat="1" applyFont="1" applyFill="1" applyAlignment="1">
      <alignment horizontal="center" vertical="center"/>
    </xf>
    <xf numFmtId="2" fontId="15" fillId="2" borderId="0" xfId="0" applyNumberFormat="1" applyFont="1" applyFill="1" applyAlignment="1">
      <alignment horizontal="center" vertical="center"/>
    </xf>
    <xf numFmtId="0" fontId="21" fillId="2" borderId="7" xfId="0" applyFont="1" applyFill="1" applyBorder="1"/>
    <xf numFmtId="0" fontId="21" fillId="2" borderId="0" xfId="0" applyFont="1" applyFill="1"/>
    <xf numFmtId="0" fontId="21" fillId="2" borderId="14" xfId="0" applyFont="1" applyFill="1" applyBorder="1"/>
    <xf numFmtId="2" fontId="15" fillId="31" borderId="0" xfId="0" applyNumberFormat="1" applyFont="1" applyFill="1" applyBorder="1" applyAlignment="1">
      <alignment horizontal="center" vertical="center"/>
    </xf>
    <xf numFmtId="0" fontId="21" fillId="2" borderId="6" xfId="0" applyFont="1" applyFill="1" applyBorder="1"/>
    <xf numFmtId="0" fontId="21" fillId="2" borderId="8" xfId="0" applyFont="1" applyFill="1" applyBorder="1"/>
    <xf numFmtId="0" fontId="6" fillId="0" borderId="0" xfId="0" applyFont="1" applyFill="1"/>
    <xf numFmtId="2" fontId="26" fillId="0"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pplyProtection="1">
      <alignment horizontal="center" vertical="center"/>
      <protection locked="0"/>
    </xf>
    <xf numFmtId="0" fontId="21" fillId="2" borderId="0" xfId="0" applyFont="1" applyFill="1" applyBorder="1" applyAlignment="1">
      <alignment wrapText="1"/>
    </xf>
    <xf numFmtId="0" fontId="21" fillId="2" borderId="0" xfId="0" applyFont="1" applyFill="1" applyBorder="1" applyAlignment="1">
      <alignment horizontal="center" wrapText="1"/>
    </xf>
    <xf numFmtId="0" fontId="27" fillId="2" borderId="14" xfId="0" applyFont="1" applyFill="1" applyBorder="1" applyAlignment="1">
      <alignment horizontal="left" vertical="center" wrapText="1"/>
    </xf>
    <xf numFmtId="0" fontId="15" fillId="2" borderId="0" xfId="0" applyFont="1" applyFill="1" applyBorder="1" applyAlignment="1">
      <alignment horizontal="center" vertical="center"/>
    </xf>
    <xf numFmtId="166" fontId="21" fillId="34" borderId="0" xfId="0" applyNumberFormat="1" applyFont="1" applyFill="1" applyBorder="1" applyAlignment="1" applyProtection="1">
      <alignment horizontal="center" vertical="center"/>
      <protection locked="0"/>
    </xf>
    <xf numFmtId="2" fontId="21" fillId="35" borderId="0" xfId="0" applyNumberFormat="1" applyFont="1" applyFill="1" applyBorder="1" applyAlignment="1">
      <alignment vertical="center"/>
    </xf>
    <xf numFmtId="2" fontId="21" fillId="36" borderId="0" xfId="0" applyNumberFormat="1" applyFont="1" applyFill="1" applyBorder="1" applyAlignment="1">
      <alignment vertical="center"/>
    </xf>
    <xf numFmtId="2" fontId="21" fillId="35" borderId="0" xfId="0" applyNumberFormat="1" applyFont="1" applyFill="1"/>
    <xf numFmtId="0" fontId="21" fillId="36" borderId="0" xfId="0" applyFont="1" applyFill="1" applyBorder="1" applyAlignment="1">
      <alignment vertical="center"/>
    </xf>
    <xf numFmtId="2" fontId="21" fillId="35" borderId="0" xfId="0" applyNumberFormat="1" applyFont="1" applyFill="1" applyAlignment="1">
      <alignment wrapText="1"/>
    </xf>
    <xf numFmtId="2" fontId="6" fillId="36" borderId="0" xfId="0" applyNumberFormat="1" applyFont="1" applyFill="1" applyBorder="1"/>
    <xf numFmtId="2" fontId="21" fillId="36" borderId="0" xfId="0" applyNumberFormat="1" applyFont="1" applyFill="1" applyBorder="1"/>
    <xf numFmtId="2" fontId="21" fillId="35" borderId="0" xfId="0" applyNumberFormat="1" applyFont="1" applyFill="1" applyBorder="1"/>
    <xf numFmtId="166" fontId="15" fillId="31" borderId="0" xfId="0" applyNumberFormat="1" applyFont="1" applyFill="1" applyBorder="1" applyAlignment="1">
      <alignment horizontal="center" vertical="center"/>
    </xf>
    <xf numFmtId="2" fontId="15" fillId="35" borderId="0" xfId="0" applyNumberFormat="1" applyFont="1" applyFill="1" applyBorder="1" applyAlignment="1">
      <alignment vertical="center"/>
    </xf>
    <xf numFmtId="0" fontId="15" fillId="36" borderId="0" xfId="0" applyFont="1" applyFill="1" applyBorder="1" applyAlignment="1">
      <alignment vertical="center"/>
    </xf>
    <xf numFmtId="2" fontId="15" fillId="35" borderId="0" xfId="0" applyNumberFormat="1" applyFont="1" applyFill="1" applyBorder="1" applyAlignment="1">
      <alignment horizontal="center" vertical="center"/>
    </xf>
    <xf numFmtId="0" fontId="21" fillId="2" borderId="0" xfId="0" applyFont="1" applyFill="1" applyBorder="1" applyAlignment="1">
      <alignment horizontal="right"/>
    </xf>
    <xf numFmtId="0" fontId="21" fillId="0" borderId="0" xfId="0" applyFont="1"/>
    <xf numFmtId="2" fontId="15" fillId="31" borderId="0" xfId="0" applyNumberFormat="1" applyFont="1" applyFill="1" applyBorder="1" applyAlignment="1">
      <alignment horizontal="center" vertical="center" wrapText="1"/>
    </xf>
    <xf numFmtId="0" fontId="6" fillId="2" borderId="7" xfId="0" applyFont="1" applyFill="1" applyBorder="1"/>
    <xf numFmtId="0" fontId="6" fillId="2" borderId="5" xfId="0" applyFont="1" applyFill="1" applyBorder="1"/>
    <xf numFmtId="0" fontId="21" fillId="3" borderId="0" xfId="0" applyFont="1" applyFill="1" applyAlignment="1">
      <alignment horizontal="left" vertical="center"/>
    </xf>
    <xf numFmtId="0" fontId="21" fillId="3" borderId="0" xfId="0" applyFont="1" applyFill="1" applyAlignment="1">
      <alignment horizontal="right" vertical="center"/>
    </xf>
    <xf numFmtId="0" fontId="21" fillId="3" borderId="0" xfId="0" applyFont="1" applyFill="1" applyBorder="1" applyAlignment="1">
      <alignment horizontal="left" vertical="center"/>
    </xf>
    <xf numFmtId="0" fontId="21" fillId="3" borderId="0" xfId="0" applyFont="1" applyFill="1" applyBorder="1" applyAlignment="1">
      <alignment horizontal="right" vertical="center" wrapText="1"/>
    </xf>
    <xf numFmtId="2" fontId="21" fillId="3" borderId="0" xfId="0" applyNumberFormat="1" applyFont="1" applyFill="1" applyAlignment="1">
      <alignment horizontal="right" vertical="center"/>
    </xf>
    <xf numFmtId="2" fontId="15" fillId="36" borderId="0" xfId="0" applyNumberFormat="1" applyFont="1" applyFill="1" applyAlignment="1">
      <alignment horizontal="center" vertical="center"/>
    </xf>
    <xf numFmtId="2" fontId="15" fillId="35" borderId="0" xfId="0" applyNumberFormat="1" applyFont="1" applyFill="1" applyAlignment="1">
      <alignment horizontal="center" vertical="center"/>
    </xf>
    <xf numFmtId="0" fontId="21" fillId="32" borderId="0" xfId="0" applyFont="1" applyFill="1" applyAlignment="1">
      <alignment horizontal="left" vertical="center"/>
    </xf>
    <xf numFmtId="0" fontId="21" fillId="32" borderId="0" xfId="0" applyFont="1" applyFill="1" applyAlignment="1">
      <alignment horizontal="right" vertical="center"/>
    </xf>
    <xf numFmtId="2" fontId="21" fillId="32" borderId="0" xfId="0" applyNumberFormat="1" applyFont="1" applyFill="1" applyAlignment="1">
      <alignment horizontal="right" vertical="center"/>
    </xf>
    <xf numFmtId="2" fontId="21" fillId="3" borderId="0" xfId="0" applyNumberFormat="1" applyFont="1" applyFill="1" applyBorder="1" applyAlignment="1">
      <alignment horizontal="right" vertical="center"/>
    </xf>
    <xf numFmtId="2" fontId="15" fillId="0" borderId="0" xfId="0" applyNumberFormat="1" applyFont="1" applyFill="1" applyBorder="1" applyAlignment="1">
      <alignment horizontal="center" vertical="center"/>
    </xf>
    <xf numFmtId="2" fontId="15" fillId="36" borderId="0" xfId="0" applyNumberFormat="1" applyFont="1" applyFill="1" applyBorder="1" applyAlignment="1">
      <alignment horizontal="center" vertical="center"/>
    </xf>
    <xf numFmtId="0" fontId="6" fillId="0" borderId="0" xfId="0" applyFont="1" applyAlignment="1"/>
    <xf numFmtId="0" fontId="27" fillId="2" borderId="0" xfId="0" applyFont="1" applyFill="1" applyBorder="1" applyAlignment="1">
      <alignment horizontal="left" vertical="center"/>
    </xf>
    <xf numFmtId="0" fontId="6" fillId="2" borderId="8" xfId="0" applyFont="1" applyFill="1" applyBorder="1"/>
    <xf numFmtId="0" fontId="21" fillId="2" borderId="2" xfId="0" applyFont="1" applyFill="1" applyBorder="1"/>
    <xf numFmtId="0" fontId="21" fillId="2" borderId="3" xfId="0" applyFont="1" applyFill="1" applyBorder="1"/>
    <xf numFmtId="0" fontId="21" fillId="2" borderId="5" xfId="0" applyFont="1" applyFill="1" applyBorder="1" applyAlignment="1"/>
    <xf numFmtId="0" fontId="21" fillId="0" borderId="0" xfId="0" applyFont="1" applyFill="1" applyAlignment="1"/>
    <xf numFmtId="0" fontId="21" fillId="0" borderId="6" xfId="0" applyFont="1" applyFill="1" applyBorder="1" applyAlignment="1"/>
    <xf numFmtId="0" fontId="21" fillId="0" borderId="7" xfId="0" applyFont="1" applyFill="1" applyBorder="1" applyAlignment="1"/>
    <xf numFmtId="0" fontId="21" fillId="2" borderId="0" xfId="0" applyFont="1" applyFill="1" applyBorder="1" applyAlignment="1"/>
    <xf numFmtId="0" fontId="21" fillId="2" borderId="0" xfId="0" applyFont="1" applyFill="1" applyAlignment="1"/>
    <xf numFmtId="0" fontId="21" fillId="2" borderId="22" xfId="0" applyFont="1" applyFill="1" applyBorder="1" applyAlignment="1"/>
    <xf numFmtId="0" fontId="21" fillId="2" borderId="23" xfId="0" applyFont="1" applyFill="1" applyBorder="1" applyAlignment="1">
      <alignment vertical="center"/>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xf>
    <xf numFmtId="0" fontId="21" fillId="2" borderId="0" xfId="0" applyFont="1" applyFill="1" applyAlignment="1" applyProtection="1">
      <alignment vertical="center"/>
    </xf>
    <xf numFmtId="166" fontId="15" fillId="35" borderId="0" xfId="0" applyNumberFormat="1"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xf numFmtId="2" fontId="15" fillId="2" borderId="0" xfId="0" applyNumberFormat="1" applyFont="1" applyFill="1" applyAlignment="1">
      <alignment vertical="center"/>
    </xf>
    <xf numFmtId="2" fontId="15" fillId="2" borderId="0" xfId="0" applyNumberFormat="1" applyFont="1" applyFill="1" applyBorder="1" applyAlignment="1">
      <alignment vertical="center"/>
    </xf>
    <xf numFmtId="0" fontId="21" fillId="2" borderId="19" xfId="0" applyFont="1" applyFill="1" applyBorder="1"/>
    <xf numFmtId="0" fontId="21" fillId="2" borderId="7" xfId="0" applyFont="1" applyFill="1" applyBorder="1" applyAlignment="1">
      <alignment vertical="center"/>
    </xf>
    <xf numFmtId="0" fontId="21" fillId="2" borderId="24" xfId="0" applyFont="1" applyFill="1" applyBorder="1" applyAlignment="1">
      <alignment vertical="center"/>
    </xf>
    <xf numFmtId="0" fontId="21" fillId="2" borderId="5" xfId="0" applyFont="1" applyFill="1" applyBorder="1" applyAlignment="1">
      <alignment vertical="center"/>
    </xf>
    <xf numFmtId="0" fontId="21" fillId="0" borderId="0" xfId="0" applyFont="1" applyFill="1" applyAlignment="1">
      <alignment vertical="center"/>
    </xf>
    <xf numFmtId="166" fontId="21" fillId="31" borderId="0" xfId="0" applyNumberFormat="1" applyFont="1" applyFill="1" applyBorder="1" applyAlignment="1">
      <alignment horizontal="center" vertical="center"/>
    </xf>
    <xf numFmtId="166" fontId="21" fillId="2" borderId="0" xfId="0" applyNumberFormat="1" applyFont="1" applyFill="1" applyBorder="1" applyAlignment="1">
      <alignment horizontal="center" vertical="center"/>
    </xf>
    <xf numFmtId="2" fontId="21" fillId="0" borderId="0" xfId="0" applyNumberFormat="1" applyFont="1" applyFill="1" applyAlignment="1">
      <alignment vertical="center"/>
    </xf>
    <xf numFmtId="2" fontId="21" fillId="34"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right" vertical="center"/>
    </xf>
    <xf numFmtId="166" fontId="15" fillId="2" borderId="0" xfId="0" applyNumberFormat="1" applyFont="1" applyFill="1" applyBorder="1" applyAlignment="1">
      <alignment horizontal="center" vertical="center"/>
    </xf>
    <xf numFmtId="166"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vertical="center"/>
    </xf>
    <xf numFmtId="0" fontId="21" fillId="0" borderId="8" xfId="0" applyFont="1" applyBorder="1" applyAlignment="1">
      <alignment vertical="center"/>
    </xf>
    <xf numFmtId="2" fontId="21" fillId="2" borderId="0" xfId="0" applyNumberFormat="1" applyFont="1" applyFill="1" applyBorder="1"/>
    <xf numFmtId="0" fontId="21" fillId="2" borderId="2" xfId="0" applyFont="1" applyFill="1" applyBorder="1" applyAlignment="1">
      <alignment vertical="center"/>
    </xf>
    <xf numFmtId="0" fontId="15" fillId="2" borderId="0" xfId="0" applyFont="1" applyFill="1" applyAlignment="1">
      <alignment horizontal="left" vertical="center" wrapText="1"/>
    </xf>
    <xf numFmtId="0" fontId="15" fillId="2" borderId="0" xfId="0" applyFont="1" applyFill="1" applyAlignment="1">
      <alignment horizontal="center" vertical="center" wrapText="1"/>
    </xf>
    <xf numFmtId="0" fontId="21" fillId="2" borderId="0" xfId="0" applyFont="1" applyFill="1" applyAlignment="1">
      <alignment horizontal="center" vertical="center" wrapText="1"/>
    </xf>
    <xf numFmtId="0" fontId="27" fillId="2" borderId="0" xfId="0" applyFont="1" applyFill="1" applyAlignment="1">
      <alignment vertical="center" wrapText="1"/>
    </xf>
    <xf numFmtId="0" fontId="27" fillId="2" borderId="0" xfId="0" applyFont="1" applyFill="1" applyAlignment="1">
      <alignment horizontal="left" vertical="center" wrapText="1"/>
    </xf>
    <xf numFmtId="166" fontId="21" fillId="31" borderId="0" xfId="0" applyNumberFormat="1" applyFont="1" applyFill="1" applyAlignment="1">
      <alignment horizontal="center" vertical="center" wrapText="1"/>
    </xf>
    <xf numFmtId="0" fontId="21" fillId="2" borderId="0" xfId="0" applyFont="1" applyFill="1" applyAlignment="1">
      <alignment horizontal="right" vertical="center"/>
    </xf>
    <xf numFmtId="0" fontId="15" fillId="2" borderId="0" xfId="0" applyFont="1" applyFill="1" applyAlignment="1">
      <alignment horizontal="right" vertical="center"/>
    </xf>
    <xf numFmtId="0" fontId="15" fillId="2" borderId="0" xfId="0" applyFont="1" applyFill="1" applyAlignment="1">
      <alignment horizontal="left" vertical="center"/>
    </xf>
    <xf numFmtId="166" fontId="15" fillId="31" borderId="0" xfId="0" applyNumberFormat="1" applyFont="1" applyFill="1" applyAlignment="1">
      <alignment horizontal="center" vertical="center"/>
    </xf>
    <xf numFmtId="0" fontId="27" fillId="2" borderId="7" xfId="0" applyFont="1" applyFill="1" applyBorder="1" applyAlignment="1">
      <alignment horizontal="left" vertical="center" wrapText="1"/>
    </xf>
    <xf numFmtId="0" fontId="21" fillId="0" borderId="0" xfId="0" applyFont="1" applyBorder="1" applyAlignment="1">
      <alignment vertical="center"/>
    </xf>
    <xf numFmtId="1" fontId="21" fillId="31" borderId="0" xfId="0" applyNumberFormat="1" applyFont="1" applyFill="1" applyBorder="1" applyAlignment="1">
      <alignment vertical="center"/>
    </xf>
    <xf numFmtId="2" fontId="21" fillId="2" borderId="0" xfId="0" applyNumberFormat="1" applyFont="1" applyFill="1" applyBorder="1" applyAlignment="1">
      <alignment horizontal="center"/>
    </xf>
    <xf numFmtId="2" fontId="21" fillId="31" borderId="0" xfId="0" applyNumberFormat="1" applyFont="1" applyFill="1" applyBorder="1" applyAlignment="1">
      <alignment vertical="center"/>
    </xf>
    <xf numFmtId="2" fontId="21" fillId="2" borderId="0" xfId="0" applyNumberFormat="1" applyFont="1" applyFill="1" applyBorder="1" applyAlignment="1">
      <alignment horizontal="right"/>
    </xf>
    <xf numFmtId="165" fontId="15" fillId="31" borderId="0" xfId="0" applyNumberFormat="1" applyFont="1" applyFill="1" applyBorder="1" applyAlignment="1">
      <alignment vertical="center"/>
    </xf>
    <xf numFmtId="0" fontId="15" fillId="2" borderId="0" xfId="0" applyFont="1" applyFill="1" applyBorder="1" applyAlignment="1">
      <alignment horizontal="right"/>
    </xf>
    <xf numFmtId="0" fontId="17" fillId="0" borderId="0" xfId="0" applyFont="1" applyFill="1" applyBorder="1" applyAlignment="1">
      <alignment horizontal="left" vertical="center"/>
    </xf>
    <xf numFmtId="2" fontId="17" fillId="0" borderId="0" xfId="0" applyNumberFormat="1" applyFont="1" applyFill="1" applyBorder="1" applyAlignment="1">
      <alignment horizontal="center"/>
    </xf>
    <xf numFmtId="165" fontId="22" fillId="0" borderId="0" xfId="0" applyNumberFormat="1" applyFont="1" applyFill="1" applyBorder="1" applyAlignment="1">
      <alignment horizontal="center"/>
    </xf>
    <xf numFmtId="165" fontId="17" fillId="0" borderId="0" xfId="0" applyNumberFormat="1" applyFont="1" applyFill="1" applyBorder="1" applyAlignment="1">
      <alignment horizontal="left"/>
    </xf>
    <xf numFmtId="2" fontId="22" fillId="0" borderId="0" xfId="0" applyNumberFormat="1" applyFont="1" applyFill="1" applyBorder="1" applyAlignment="1">
      <alignment horizontal="left"/>
    </xf>
    <xf numFmtId="165" fontId="22" fillId="0" borderId="0" xfId="0" applyNumberFormat="1" applyFont="1" applyFill="1" applyBorder="1" applyAlignment="1">
      <alignment horizontal="left"/>
    </xf>
    <xf numFmtId="165"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17" fillId="38" borderId="0" xfId="0" applyFont="1" applyFill="1" applyBorder="1"/>
    <xf numFmtId="0" fontId="17" fillId="7" borderId="0" xfId="0" applyFont="1" applyFill="1" applyBorder="1"/>
    <xf numFmtId="165" fontId="17" fillId="0" borderId="0" xfId="0" applyNumberFormat="1" applyFont="1" applyFill="1" applyBorder="1" applyAlignment="1">
      <alignment horizontal="center" wrapText="1"/>
    </xf>
    <xf numFmtId="0" fontId="15" fillId="2" borderId="0" xfId="0" applyFont="1" applyFill="1" applyBorder="1" applyAlignment="1" applyProtection="1">
      <alignment vertical="center"/>
      <protection locked="0"/>
    </xf>
    <xf numFmtId="0" fontId="23" fillId="33" borderId="9" xfId="4" applyFont="1" applyFill="1" applyBorder="1" applyAlignment="1" applyProtection="1">
      <alignment horizontal="left" vertical="center"/>
    </xf>
    <xf numFmtId="1" fontId="15" fillId="35" borderId="0" xfId="0" applyNumberFormat="1" applyFont="1" applyFill="1" applyBorder="1" applyAlignment="1" applyProtection="1">
      <alignment horizontal="center" vertical="center"/>
      <protection locked="0"/>
    </xf>
    <xf numFmtId="1" fontId="15" fillId="31" borderId="0" xfId="0" applyNumberFormat="1" applyFont="1" applyFill="1" applyBorder="1" applyAlignment="1" applyProtection="1">
      <alignment horizontal="center" vertical="center"/>
    </xf>
    <xf numFmtId="0" fontId="21" fillId="34" borderId="0" xfId="0" applyFont="1" applyFill="1" applyBorder="1" applyAlignment="1" applyProtection="1">
      <protection locked="0"/>
    </xf>
    <xf numFmtId="0" fontId="17" fillId="0" borderId="0" xfId="0" applyFont="1" applyAlignment="1">
      <alignment wrapText="1"/>
    </xf>
    <xf numFmtId="0" fontId="21" fillId="33" borderId="10" xfId="0" applyFont="1" applyFill="1" applyBorder="1" applyAlignment="1">
      <alignment vertical="center" wrapText="1"/>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2" borderId="10" xfId="0" applyFont="1" applyFill="1" applyBorder="1" applyAlignment="1">
      <alignment vertical="center" wrapText="1"/>
    </xf>
    <xf numFmtId="0" fontId="21" fillId="2" borderId="11" xfId="0" applyFont="1" applyFill="1" applyBorder="1" applyAlignment="1">
      <alignment vertical="center" wrapText="1"/>
    </xf>
    <xf numFmtId="0" fontId="21" fillId="2" borderId="12" xfId="0" applyFont="1" applyFill="1" applyBorder="1" applyAlignment="1">
      <alignment vertical="center" wrapText="1"/>
    </xf>
    <xf numFmtId="0" fontId="21" fillId="2" borderId="0"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15" fillId="2" borderId="9" xfId="0" applyFont="1" applyFill="1" applyBorder="1" applyAlignment="1">
      <alignment horizontal="center" vertical="center"/>
    </xf>
    <xf numFmtId="0" fontId="21" fillId="2" borderId="0" xfId="0" applyFont="1" applyFill="1" applyBorder="1" applyAlignment="1">
      <alignment horizontal="center" vertical="center" wrapText="1"/>
    </xf>
    <xf numFmtId="0" fontId="21" fillId="0" borderId="9" xfId="0" applyFont="1" applyFill="1" applyBorder="1" applyAlignment="1">
      <alignment horizontal="left" vertical="center"/>
    </xf>
    <xf numFmtId="0" fontId="21" fillId="0"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3" fillId="2" borderId="0" xfId="4" applyFont="1" applyFill="1" applyBorder="1" applyAlignment="1" applyProtection="1">
      <alignment horizontal="left" vertical="center" wrapText="1"/>
      <protection locked="0"/>
    </xf>
    <xf numFmtId="0" fontId="21" fillId="2" borderId="14"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15" fillId="2" borderId="0" xfId="0" applyFont="1" applyFill="1" applyBorder="1" applyAlignment="1" applyProtection="1">
      <alignment horizontal="left" vertical="center" wrapText="1"/>
      <protection locked="0"/>
    </xf>
    <xf numFmtId="0" fontId="25" fillId="2" borderId="0" xfId="4" applyFont="1" applyFill="1" applyBorder="1" applyAlignment="1" applyProtection="1">
      <alignment horizontal="left" vertical="center" wrapText="1"/>
      <protection locked="0"/>
    </xf>
    <xf numFmtId="0" fontId="26" fillId="2" borderId="0" xfId="4" applyFont="1" applyFill="1" applyBorder="1" applyAlignment="1" applyProtection="1">
      <alignment horizontal="left"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21" fillId="0" borderId="0" xfId="0" applyFont="1" applyAlignment="1">
      <alignment horizontal="left" vertical="top"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21" fillId="2" borderId="17" xfId="0" applyFont="1" applyFill="1" applyBorder="1" applyAlignment="1">
      <alignment horizontal="left" vertical="center" wrapText="1"/>
    </xf>
    <xf numFmtId="0" fontId="23" fillId="2" borderId="0" xfId="4" applyFont="1" applyFill="1" applyBorder="1" applyAlignment="1" applyProtection="1">
      <alignment horizontal="left" vertical="center"/>
    </xf>
    <xf numFmtId="0" fontId="21" fillId="2" borderId="0"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21" fillId="0" borderId="10" xfId="0" applyFont="1" applyFill="1" applyBorder="1" applyAlignment="1">
      <alignment horizontal="left" vertical="center"/>
    </xf>
    <xf numFmtId="0" fontId="21" fillId="0" borderId="11" xfId="0" applyFont="1" applyFill="1" applyBorder="1" applyAlignment="1">
      <alignment horizontal="left" vertical="center"/>
    </xf>
    <xf numFmtId="0" fontId="21" fillId="0" borderId="12" xfId="0" applyFont="1" applyFill="1" applyBorder="1" applyAlignment="1">
      <alignment horizontal="left" vertical="center"/>
    </xf>
    <xf numFmtId="0" fontId="21" fillId="2" borderId="0" xfId="0" applyFont="1" applyFill="1" applyBorder="1" applyAlignment="1">
      <alignment vertical="center"/>
    </xf>
    <xf numFmtId="0" fontId="21" fillId="2" borderId="17" xfId="0" applyFont="1" applyFill="1" applyBorder="1" applyAlignment="1">
      <alignment vertical="center"/>
    </xf>
    <xf numFmtId="0" fontId="15" fillId="2" borderId="0" xfId="0" applyFont="1" applyFill="1" applyBorder="1" applyAlignment="1" applyProtection="1">
      <alignment horizontal="left"/>
      <protection locked="0"/>
    </xf>
    <xf numFmtId="0" fontId="15" fillId="2" borderId="0" xfId="0" applyFont="1" applyFill="1" applyBorder="1" applyAlignment="1" applyProtection="1">
      <alignment horizontal="left" vertical="center"/>
      <protection locked="0"/>
    </xf>
    <xf numFmtId="0" fontId="15" fillId="2" borderId="0" xfId="0" applyFont="1" applyFill="1" applyBorder="1" applyAlignment="1" applyProtection="1">
      <alignment horizontal="left" vertical="center"/>
    </xf>
    <xf numFmtId="0" fontId="21" fillId="2" borderId="0" xfId="0" applyFont="1" applyFill="1" applyAlignment="1">
      <alignment horizontal="left" vertical="center" wrapText="1"/>
    </xf>
    <xf numFmtId="0" fontId="21" fillId="2" borderId="9" xfId="0" applyFont="1" applyFill="1" applyBorder="1" applyAlignment="1">
      <alignment horizontal="left" vertical="center"/>
    </xf>
    <xf numFmtId="0" fontId="15" fillId="2" borderId="9" xfId="0" applyFont="1" applyFill="1" applyBorder="1" applyAlignment="1">
      <alignment horizontal="left" vertical="center" wrapText="1"/>
    </xf>
    <xf numFmtId="0" fontId="21" fillId="2" borderId="9" xfId="0" applyFont="1" applyFill="1" applyBorder="1" applyAlignment="1">
      <alignment vertical="center" wrapText="1"/>
    </xf>
    <xf numFmtId="0" fontId="21" fillId="33" borderId="9" xfId="0" applyFont="1" applyFill="1" applyBorder="1" applyAlignment="1">
      <alignment vertical="center" wrapText="1"/>
    </xf>
    <xf numFmtId="0" fontId="23" fillId="33" borderId="9" xfId="4" applyFont="1" applyFill="1" applyBorder="1" applyAlignment="1" applyProtection="1">
      <alignment vertical="center"/>
    </xf>
    <xf numFmtId="0" fontId="21" fillId="0" borderId="10"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3" fillId="2" borderId="0" xfId="0" applyFont="1" applyFill="1" applyBorder="1" applyAlignment="1">
      <alignment vertical="top"/>
    </xf>
    <xf numFmtId="0" fontId="23" fillId="2" borderId="0" xfId="0" applyFont="1" applyFill="1" applyBorder="1" applyAlignment="1">
      <alignment vertical="top" wrapText="1"/>
    </xf>
    <xf numFmtId="0" fontId="25" fillId="2" borderId="0" xfId="4" applyFont="1" applyFill="1" applyBorder="1" applyAlignment="1" applyProtection="1">
      <alignment horizontal="left" vertical="top"/>
      <protection locked="0"/>
    </xf>
    <xf numFmtId="0" fontId="23" fillId="2" borderId="0" xfId="0" applyFont="1" applyFill="1" applyBorder="1" applyAlignment="1">
      <alignment horizontal="left" vertical="top" wrapText="1"/>
    </xf>
    <xf numFmtId="0" fontId="23" fillId="2" borderId="0" xfId="0" applyFont="1" applyFill="1" applyBorder="1" applyAlignment="1">
      <alignment horizontal="left" vertical="top"/>
    </xf>
    <xf numFmtId="0" fontId="24" fillId="2" borderId="0" xfId="0" applyFont="1" applyFill="1" applyBorder="1" applyAlignment="1" applyProtection="1">
      <alignment vertical="top" wrapText="1"/>
      <protection locked="0"/>
    </xf>
    <xf numFmtId="0" fontId="15" fillId="2" borderId="20" xfId="0" applyFont="1" applyFill="1" applyBorder="1" applyAlignment="1">
      <alignment horizontal="center" vertical="center" wrapText="1"/>
    </xf>
    <xf numFmtId="0" fontId="21" fillId="2" borderId="10" xfId="0" applyFont="1" applyFill="1" applyBorder="1" applyAlignment="1" applyProtection="1">
      <alignment horizontal="left"/>
      <protection locked="0"/>
    </xf>
    <xf numFmtId="0" fontId="21" fillId="2" borderId="11" xfId="0" applyFont="1" applyFill="1" applyBorder="1" applyAlignment="1" applyProtection="1">
      <alignment horizontal="left"/>
      <protection locked="0"/>
    </xf>
    <xf numFmtId="0" fontId="21" fillId="2" borderId="12" xfId="0" applyFont="1" applyFill="1" applyBorder="1" applyAlignment="1" applyProtection="1">
      <alignment horizontal="left"/>
      <protection locked="0"/>
    </xf>
    <xf numFmtId="0" fontId="21" fillId="2" borderId="13" xfId="0" applyFont="1" applyFill="1" applyBorder="1" applyAlignment="1" applyProtection="1">
      <alignment horizontal="left" vertical="top"/>
      <protection locked="0"/>
    </xf>
    <xf numFmtId="0" fontId="21" fillId="2" borderId="14" xfId="0" applyFont="1" applyFill="1" applyBorder="1" applyAlignment="1" applyProtection="1">
      <alignment horizontal="left" vertical="top"/>
      <protection locked="0"/>
    </xf>
    <xf numFmtId="0" fontId="21" fillId="2" borderId="15" xfId="0" applyFont="1" applyFill="1" applyBorder="1" applyAlignment="1" applyProtection="1">
      <alignment horizontal="left" vertical="top"/>
      <protection locked="0"/>
    </xf>
    <xf numFmtId="0" fontId="21" fillId="2" borderId="16"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21" fillId="2" borderId="17" xfId="0" applyFont="1" applyFill="1" applyBorder="1" applyAlignment="1" applyProtection="1">
      <alignment horizontal="left" vertical="top"/>
      <protection locked="0"/>
    </xf>
    <xf numFmtId="0" fontId="21" fillId="2" borderId="18" xfId="0" applyFont="1" applyFill="1" applyBorder="1" applyAlignment="1" applyProtection="1">
      <alignment horizontal="left" vertical="top"/>
      <protection locked="0"/>
    </xf>
    <xf numFmtId="0" fontId="21" fillId="2" borderId="19" xfId="0" applyFont="1" applyFill="1" applyBorder="1" applyAlignment="1" applyProtection="1">
      <alignment horizontal="left" vertical="top"/>
      <protection locked="0"/>
    </xf>
    <xf numFmtId="0" fontId="21" fillId="2" borderId="20" xfId="0" applyFont="1" applyFill="1" applyBorder="1" applyAlignment="1" applyProtection="1">
      <alignment horizontal="left" vertical="top"/>
      <protection locked="0"/>
    </xf>
    <xf numFmtId="0" fontId="15" fillId="2" borderId="10" xfId="0" applyFont="1" applyFill="1" applyBorder="1" applyAlignment="1" applyProtection="1">
      <alignment horizontal="left" vertical="center"/>
    </xf>
    <xf numFmtId="0" fontId="15" fillId="2" borderId="12" xfId="0" applyFont="1" applyFill="1" applyBorder="1" applyAlignment="1" applyProtection="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21" fillId="2" borderId="10" xfId="0" applyFont="1" applyFill="1" applyBorder="1" applyAlignment="1" applyProtection="1">
      <alignment horizontal="left" wrapText="1"/>
      <protection locked="0"/>
    </xf>
    <xf numFmtId="0" fontId="21" fillId="2" borderId="11" xfId="0" applyFont="1" applyFill="1" applyBorder="1" applyAlignment="1" applyProtection="1">
      <alignment horizontal="left" wrapText="1"/>
      <protection locked="0"/>
    </xf>
    <xf numFmtId="0" fontId="21" fillId="2" borderId="12" xfId="0" applyFont="1" applyFill="1" applyBorder="1" applyAlignment="1" applyProtection="1">
      <alignment horizontal="left" wrapText="1"/>
      <protection locked="0"/>
    </xf>
    <xf numFmtId="0" fontId="15" fillId="2" borderId="0" xfId="0" applyFont="1" applyFill="1" applyBorder="1" applyAlignment="1">
      <alignment horizontal="left" vertical="center"/>
    </xf>
    <xf numFmtId="0" fontId="21" fillId="2" borderId="0" xfId="0" applyFont="1" applyFill="1" applyAlignment="1">
      <alignment horizontal="left" vertical="center"/>
    </xf>
    <xf numFmtId="0" fontId="27" fillId="2" borderId="0"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21" fillId="0" borderId="0" xfId="0" applyFont="1" applyBorder="1" applyAlignment="1">
      <alignment horizontal="left" vertical="center"/>
    </xf>
    <xf numFmtId="0" fontId="21" fillId="2" borderId="0" xfId="0" applyFont="1" applyFill="1" applyBorder="1" applyAlignment="1">
      <alignment horizontal="right" vertical="center" wrapText="1"/>
    </xf>
    <xf numFmtId="0" fontId="21"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0" fontId="27" fillId="2" borderId="19" xfId="0" applyFont="1" applyFill="1" applyBorder="1" applyAlignment="1">
      <alignment horizontal="left" vertical="center" wrapText="1"/>
    </xf>
    <xf numFmtId="0" fontId="15" fillId="2" borderId="0" xfId="0" applyFont="1" applyFill="1" applyAlignment="1">
      <alignment horizontal="left"/>
    </xf>
    <xf numFmtId="0" fontId="9" fillId="0" borderId="0" xfId="0" applyFont="1" applyFill="1" applyBorder="1" applyAlignment="1">
      <alignment horizontal="left" vertical="top" wrapText="1"/>
    </xf>
    <xf numFmtId="0" fontId="21" fillId="2" borderId="0" xfId="0" applyFont="1" applyFill="1" applyBorder="1" applyAlignment="1">
      <alignment horizontal="left"/>
    </xf>
    <xf numFmtId="0" fontId="15" fillId="2" borderId="0" xfId="0" applyFont="1" applyFill="1" applyBorder="1" applyAlignment="1">
      <alignment horizontal="right" vertical="center"/>
    </xf>
    <xf numFmtId="49" fontId="30" fillId="2" borderId="0" xfId="4" applyNumberFormat="1" applyFont="1" applyFill="1" applyBorder="1" applyAlignment="1" applyProtection="1">
      <alignment horizontal="left" vertical="center" wrapText="1"/>
      <protection locked="0"/>
    </xf>
    <xf numFmtId="0" fontId="30" fillId="0" borderId="0" xfId="4" applyFont="1" applyAlignment="1" applyProtection="1">
      <alignment horizontal="left"/>
      <protection locked="0"/>
    </xf>
    <xf numFmtId="0" fontId="2" fillId="0" borderId="0" xfId="0" applyFont="1" applyFill="1" applyBorder="1" applyAlignment="1">
      <alignment horizontal="center"/>
    </xf>
    <xf numFmtId="0" fontId="13" fillId="0" borderId="0" xfId="0" applyFont="1" applyFill="1" applyBorder="1" applyAlignment="1">
      <alignment horizontal="center" wrapText="1"/>
    </xf>
    <xf numFmtId="0" fontId="27" fillId="2" borderId="0" xfId="0" applyFont="1" applyFill="1" applyBorder="1" applyAlignment="1">
      <alignment horizontal="left" wrapText="1"/>
    </xf>
    <xf numFmtId="0" fontId="15" fillId="3" borderId="0" xfId="0" applyFont="1" applyFill="1" applyBorder="1" applyAlignment="1">
      <alignment horizontal="left" vertical="center" wrapText="1"/>
    </xf>
    <xf numFmtId="0" fontId="15" fillId="2" borderId="0" xfId="0" applyFont="1" applyFill="1" applyBorder="1" applyAlignment="1">
      <alignment horizontal="center" vertical="center"/>
    </xf>
    <xf numFmtId="0" fontId="15" fillId="2" borderId="0" xfId="0" applyFont="1" applyFill="1" applyBorder="1" applyAlignment="1">
      <alignment horizontal="center"/>
    </xf>
    <xf numFmtId="0" fontId="27" fillId="2" borderId="0" xfId="0" applyFont="1" applyFill="1" applyBorder="1" applyAlignment="1">
      <alignment horizontal="left" vertical="top" wrapText="1"/>
    </xf>
    <xf numFmtId="0" fontId="27" fillId="2" borderId="7" xfId="0" applyFont="1" applyFill="1" applyBorder="1" applyAlignment="1">
      <alignment horizontal="left" vertical="center" wrapText="1"/>
    </xf>
    <xf numFmtId="0" fontId="21" fillId="2" borderId="0" xfId="0" applyFont="1" applyFill="1" applyAlignment="1">
      <alignment horizontal="center" vertical="center"/>
    </xf>
    <xf numFmtId="0" fontId="27" fillId="2" borderId="0" xfId="0" applyFont="1" applyFill="1" applyBorder="1" applyAlignment="1">
      <alignment horizontal="center" vertical="center" wrapText="1"/>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49" fontId="26" fillId="2" borderId="0" xfId="4" applyNumberFormat="1" applyFont="1" applyFill="1" applyBorder="1" applyAlignment="1" applyProtection="1">
      <alignment horizontal="left" vertical="center" wrapText="1"/>
    </xf>
    <xf numFmtId="49" fontId="26" fillId="2" borderId="23" xfId="4" applyNumberFormat="1" applyFont="1" applyFill="1" applyBorder="1" applyAlignment="1" applyProtection="1">
      <alignment horizontal="left" vertical="center" wrapText="1"/>
    </xf>
    <xf numFmtId="0" fontId="15" fillId="2" borderId="0" xfId="0" applyFont="1" applyFill="1" applyAlignment="1">
      <alignment horizontal="center" vertical="center" wrapText="1"/>
    </xf>
    <xf numFmtId="0" fontId="15" fillId="0" borderId="0" xfId="0" applyFont="1" applyBorder="1" applyAlignment="1">
      <alignment horizontal="center" vertical="center"/>
    </xf>
    <xf numFmtId="0" fontId="15" fillId="2" borderId="0" xfId="0" quotePrefix="1" applyFont="1" applyFill="1" applyBorder="1" applyAlignment="1">
      <alignment horizontal="center" vertical="center"/>
    </xf>
    <xf numFmtId="0" fontId="15" fillId="2" borderId="0" xfId="0" applyFont="1" applyFill="1" applyBorder="1" applyAlignment="1">
      <alignment horizontal="left"/>
    </xf>
    <xf numFmtId="0" fontId="21" fillId="0" borderId="0" xfId="0" applyFont="1" applyAlignment="1" applyProtection="1">
      <alignment horizontal="left" wrapText="1"/>
      <protection locked="0"/>
    </xf>
    <xf numFmtId="0" fontId="1" fillId="2" borderId="32" xfId="0" applyFont="1" applyFill="1" applyBorder="1" applyAlignment="1">
      <alignment horizontal="center"/>
    </xf>
    <xf numFmtId="0" fontId="1" fillId="2" borderId="36" xfId="0" applyFont="1" applyFill="1" applyBorder="1" applyAlignment="1">
      <alignment horizontal="center"/>
    </xf>
    <xf numFmtId="0" fontId="1" fillId="2" borderId="33"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3" fillId="2" borderId="1" xfId="0" applyFont="1" applyFill="1" applyBorder="1" applyAlignment="1">
      <alignment horizontal="center" wrapText="1"/>
    </xf>
    <xf numFmtId="0" fontId="13" fillId="2" borderId="35" xfId="0" applyFont="1" applyFill="1" applyBorder="1" applyAlignment="1">
      <alignment horizontal="center" wrapText="1"/>
    </xf>
    <xf numFmtId="0" fontId="13" fillId="2" borderId="41" xfId="0" applyFont="1" applyFill="1" applyBorder="1" applyAlignment="1">
      <alignment horizontal="center" wrapText="1"/>
    </xf>
    <xf numFmtId="0" fontId="13" fillId="2" borderId="3" xfId="0" applyFont="1" applyFill="1" applyBorder="1" applyAlignment="1">
      <alignment horizontal="center" wrapText="1"/>
    </xf>
    <xf numFmtId="0" fontId="13" fillId="2" borderId="51" xfId="0" applyFont="1" applyFill="1" applyBorder="1" applyAlignment="1">
      <alignment horizontal="center" wrapText="1"/>
    </xf>
    <xf numFmtId="0" fontId="13" fillId="2" borderId="52" xfId="0" applyFont="1" applyFill="1" applyBorder="1" applyAlignment="1">
      <alignment horizontal="center" wrapText="1"/>
    </xf>
    <xf numFmtId="0" fontId="13" fillId="2" borderId="34" xfId="0" applyFont="1" applyFill="1" applyBorder="1" applyAlignment="1">
      <alignment horizontal="center" wrapText="1"/>
    </xf>
    <xf numFmtId="0" fontId="13" fillId="2" borderId="37" xfId="0" applyFont="1" applyFill="1" applyBorder="1" applyAlignment="1">
      <alignment horizontal="center" wrapText="1"/>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3" fillId="2" borderId="34" xfId="0" applyFont="1" applyFill="1" applyBorder="1" applyAlignment="1">
      <alignment horizontal="center"/>
    </xf>
    <xf numFmtId="0" fontId="13" fillId="2" borderId="51" xfId="0" applyFont="1" applyFill="1" applyBorder="1" applyAlignment="1">
      <alignment horizontal="center"/>
    </xf>
    <xf numFmtId="0" fontId="13" fillId="2" borderId="1" xfId="0" applyFont="1" applyFill="1" applyBorder="1" applyAlignment="1">
      <alignment horizontal="center"/>
    </xf>
    <xf numFmtId="0" fontId="13" fillId="2" borderId="35" xfId="0" applyFont="1" applyFill="1" applyBorder="1" applyAlignment="1">
      <alignment horizontal="center"/>
    </xf>
    <xf numFmtId="0" fontId="13" fillId="2" borderId="2" xfId="0" applyFont="1" applyFill="1" applyBorder="1" applyAlignment="1">
      <alignment horizontal="center" wrapText="1"/>
    </xf>
    <xf numFmtId="0" fontId="16" fillId="0" borderId="41" xfId="0" applyFont="1" applyBorder="1" applyAlignment="1">
      <alignment horizontal="center" wrapText="1"/>
    </xf>
    <xf numFmtId="0" fontId="16" fillId="0" borderId="35" xfId="0" applyFont="1" applyBorder="1" applyAlignment="1">
      <alignment horizontal="center" wrapText="1"/>
    </xf>
    <xf numFmtId="0" fontId="16" fillId="0" borderId="3" xfId="0" applyFont="1" applyBorder="1" applyAlignment="1">
      <alignment horizontal="center" wrapText="1"/>
    </xf>
    <xf numFmtId="2" fontId="21" fillId="31" borderId="0" xfId="0" applyNumberFormat="1" applyFont="1" applyFill="1" applyBorder="1" applyAlignment="1" applyProtection="1">
      <alignment horizontal="center" vertical="center"/>
    </xf>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66">
    <dxf>
      <font>
        <strike val="0"/>
        <outline val="0"/>
        <shadow val="0"/>
        <u val="none"/>
        <vertAlign val="baseline"/>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6969"/>
        </patternFill>
      </fill>
    </dxf>
    <dxf>
      <fill>
        <patternFill>
          <bgColor rgb="FFFF7171"/>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ill>
        <patternFill>
          <bgColor rgb="FFD6F4FE"/>
        </patternFill>
      </fill>
    </dxf>
    <dxf>
      <fill>
        <patternFill>
          <bgColor rgb="FFD6F4FE"/>
        </patternFill>
      </fill>
    </dxf>
  </dxfs>
  <tableStyles count="0" defaultTableStyle="TableStyleMedium2" defaultPivotStyle="PivotStyleLight16"/>
  <colors>
    <mruColors>
      <color rgb="FFFFF2CC"/>
      <color rgb="FFDDEBF7"/>
      <color rgb="FFFFFFFF"/>
      <color rgb="FFD6F4FE"/>
      <color rgb="FFFFFF99"/>
      <color rgb="FFCAF2FE"/>
      <color rgb="FF96E5FE"/>
      <color rgb="FFD19FFF"/>
      <color rgb="FFE575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TN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TN</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Calculations'!$F$26:$Z$26</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97-4E7D-A5B5-13B572A352B6}"/>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nitrogen</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gi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15</xdr:col>
      <xdr:colOff>1591603</xdr:colOff>
      <xdr:row>1</xdr:row>
      <xdr:rowOff>160197</xdr:rowOff>
    </xdr:from>
    <xdr:to>
      <xdr:col>15</xdr:col>
      <xdr:colOff>3351072</xdr:colOff>
      <xdr:row>6</xdr:row>
      <xdr:rowOff>250782</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2348118" y="323758"/>
          <a:ext cx="1749944" cy="81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215</xdr:row>
      <xdr:rowOff>18789</xdr:rowOff>
    </xdr:from>
    <xdr:to>
      <xdr:col>12</xdr:col>
      <xdr:colOff>56020</xdr:colOff>
      <xdr:row>215</xdr:row>
      <xdr:rowOff>973614</xdr:rowOff>
    </xdr:to>
    <xdr:pic>
      <xdr:nvPicPr>
        <xdr:cNvPr id="4" name="Picture 3" descr="Royal HaskoningDHV company logo">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1866060</xdr:colOff>
      <xdr:row>6</xdr:row>
      <xdr:rowOff>649003</xdr:rowOff>
    </xdr:from>
    <xdr:to>
      <xdr:col>15</xdr:col>
      <xdr:colOff>3425945</xdr:colOff>
      <xdr:row>6</xdr:row>
      <xdr:rowOff>1105720</xdr:rowOff>
    </xdr:to>
    <xdr:pic>
      <xdr:nvPicPr>
        <xdr:cNvPr id="5" name="Picture 4" descr="Norfolk County Council company logo">
          <a:extLst>
            <a:ext uri="{FF2B5EF4-FFF2-40B4-BE49-F238E27FC236}">
              <a16:creationId xmlns:a16="http://schemas.microsoft.com/office/drawing/2014/main" id="{97CDE3B0-D969-4D9E-95C6-604A08986424}"/>
            </a:ext>
          </a:extLst>
        </xdr:cNvPr>
        <xdr:cNvPicPr>
          <a:picLocks noChangeAspect="1"/>
        </xdr:cNvPicPr>
      </xdr:nvPicPr>
      <xdr:blipFill>
        <a:blip xmlns:r="http://schemas.openxmlformats.org/officeDocument/2006/relationships" r:embed="rId3"/>
        <a:stretch>
          <a:fillRect/>
        </a:stretch>
      </xdr:blipFill>
      <xdr:spPr>
        <a:xfrm>
          <a:off x="12622575" y="1534155"/>
          <a:ext cx="1556710" cy="456717"/>
        </a:xfrm>
        <a:prstGeom prst="rect">
          <a:avLst/>
        </a:prstGeom>
      </xdr:spPr>
    </xdr:pic>
    <xdr:clientData/>
  </xdr:twoCellAnchor>
  <xdr:twoCellAnchor editAs="oneCell">
    <xdr:from>
      <xdr:col>12</xdr:col>
      <xdr:colOff>1932106</xdr:colOff>
      <xdr:row>3</xdr:row>
      <xdr:rowOff>8150</xdr:rowOff>
    </xdr:from>
    <xdr:to>
      <xdr:col>13</xdr:col>
      <xdr:colOff>554803</xdr:colOff>
      <xdr:row>6</xdr:row>
      <xdr:rowOff>106392</xdr:rowOff>
    </xdr:to>
    <xdr:pic>
      <xdr:nvPicPr>
        <xdr:cNvPr id="6" name="Picture 5" descr="Great Yarmouth Borough Council logo">
          <a:extLst>
            <a:ext uri="{FF2B5EF4-FFF2-40B4-BE49-F238E27FC236}">
              <a16:creationId xmlns:a16="http://schemas.microsoft.com/office/drawing/2014/main" id="{D5AD752F-1CBD-41D1-A65F-C06F585E8875}"/>
            </a:ext>
          </a:extLst>
        </xdr:cNvPr>
        <xdr:cNvPicPr>
          <a:picLocks noChangeAspect="1"/>
        </xdr:cNvPicPr>
      </xdr:nvPicPr>
      <xdr:blipFill>
        <a:blip xmlns:r="http://schemas.openxmlformats.org/officeDocument/2006/relationships" r:embed="rId4"/>
        <a:stretch>
          <a:fillRect/>
        </a:stretch>
      </xdr:blipFill>
      <xdr:spPr>
        <a:xfrm>
          <a:off x="8387939" y="508453"/>
          <a:ext cx="1932393" cy="483091"/>
        </a:xfrm>
        <a:prstGeom prst="rect">
          <a:avLst/>
        </a:prstGeom>
      </xdr:spPr>
    </xdr:pic>
    <xdr:clientData/>
  </xdr:twoCellAnchor>
  <xdr:twoCellAnchor editAs="oneCell">
    <xdr:from>
      <xdr:col>8</xdr:col>
      <xdr:colOff>279424</xdr:colOff>
      <xdr:row>6</xdr:row>
      <xdr:rowOff>469046</xdr:rowOff>
    </xdr:from>
    <xdr:to>
      <xdr:col>10</xdr:col>
      <xdr:colOff>178257</xdr:colOff>
      <xdr:row>6</xdr:row>
      <xdr:rowOff>1106246</xdr:rowOff>
    </xdr:to>
    <xdr:pic>
      <xdr:nvPicPr>
        <xdr:cNvPr id="7" name="Picture 6" descr="North Norfolk District Council logo">
          <a:extLst>
            <a:ext uri="{FF2B5EF4-FFF2-40B4-BE49-F238E27FC236}">
              <a16:creationId xmlns:a16="http://schemas.microsoft.com/office/drawing/2014/main" id="{9CC77786-3FD3-4606-9137-890F0CB77B65}"/>
            </a:ext>
          </a:extLst>
        </xdr:cNvPr>
        <xdr:cNvPicPr>
          <a:picLocks noChangeAspect="1"/>
        </xdr:cNvPicPr>
      </xdr:nvPicPr>
      <xdr:blipFill>
        <a:blip xmlns:r="http://schemas.openxmlformats.org/officeDocument/2006/relationships" r:embed="rId5"/>
        <a:stretch>
          <a:fillRect/>
        </a:stretch>
      </xdr:blipFill>
      <xdr:spPr>
        <a:xfrm>
          <a:off x="4493515" y="1354198"/>
          <a:ext cx="1621193" cy="637200"/>
        </a:xfrm>
        <a:prstGeom prst="rect">
          <a:avLst/>
        </a:prstGeom>
      </xdr:spPr>
    </xdr:pic>
    <xdr:clientData/>
  </xdr:twoCellAnchor>
  <xdr:twoCellAnchor editAs="oneCell">
    <xdr:from>
      <xdr:col>11</xdr:col>
      <xdr:colOff>554046</xdr:colOff>
      <xdr:row>6</xdr:row>
      <xdr:rowOff>508529</xdr:rowOff>
    </xdr:from>
    <xdr:to>
      <xdr:col>12</xdr:col>
      <xdr:colOff>1731828</xdr:colOff>
      <xdr:row>6</xdr:row>
      <xdr:rowOff>1182743</xdr:rowOff>
    </xdr:to>
    <xdr:pic>
      <xdr:nvPicPr>
        <xdr:cNvPr id="9" name="Picture 8" descr="Norwich City Council logo">
          <a:extLst>
            <a:ext uri="{FF2B5EF4-FFF2-40B4-BE49-F238E27FC236}">
              <a16:creationId xmlns:a16="http://schemas.microsoft.com/office/drawing/2014/main" id="{BEC0F670-0654-4586-9CF0-2E23CF953317}"/>
            </a:ext>
          </a:extLst>
        </xdr:cNvPr>
        <xdr:cNvPicPr>
          <a:picLocks noChangeAspect="1"/>
        </xdr:cNvPicPr>
      </xdr:nvPicPr>
      <xdr:blipFill rotWithShape="1">
        <a:blip xmlns:r="http://schemas.openxmlformats.org/officeDocument/2006/relationships" r:embed="rId6"/>
        <a:srcRect l="6687" t="14562" r="6524" b="17361"/>
        <a:stretch/>
      </xdr:blipFill>
      <xdr:spPr>
        <a:xfrm>
          <a:off x="6403743" y="1393681"/>
          <a:ext cx="1771219" cy="674214"/>
        </a:xfrm>
        <a:prstGeom prst="rect">
          <a:avLst/>
        </a:prstGeom>
      </xdr:spPr>
    </xdr:pic>
    <xdr:clientData/>
  </xdr:twoCellAnchor>
  <xdr:twoCellAnchor editAs="oneCell">
    <xdr:from>
      <xdr:col>14</xdr:col>
      <xdr:colOff>305454</xdr:colOff>
      <xdr:row>6</xdr:row>
      <xdr:rowOff>580048</xdr:rowOff>
    </xdr:from>
    <xdr:to>
      <xdr:col>15</xdr:col>
      <xdr:colOff>1354263</xdr:colOff>
      <xdr:row>6</xdr:row>
      <xdr:rowOff>1102558</xdr:rowOff>
    </xdr:to>
    <xdr:pic>
      <xdr:nvPicPr>
        <xdr:cNvPr id="10" name="Picture 9" descr="South Norfolk Council logo">
          <a:extLst>
            <a:ext uri="{FF2B5EF4-FFF2-40B4-BE49-F238E27FC236}">
              <a16:creationId xmlns:a16="http://schemas.microsoft.com/office/drawing/2014/main" id="{BAA1334B-C209-42F6-A5C7-69F7E8BFE7F8}"/>
            </a:ext>
          </a:extLst>
        </xdr:cNvPr>
        <xdr:cNvPicPr>
          <a:picLocks noChangeAspect="1"/>
        </xdr:cNvPicPr>
      </xdr:nvPicPr>
      <xdr:blipFill rotWithShape="1">
        <a:blip xmlns:r="http://schemas.openxmlformats.org/officeDocument/2006/relationships" r:embed="rId7"/>
        <a:srcRect t="32004" b="31425"/>
        <a:stretch/>
      </xdr:blipFill>
      <xdr:spPr>
        <a:xfrm>
          <a:off x="10677121" y="1465200"/>
          <a:ext cx="1433657" cy="519335"/>
        </a:xfrm>
        <a:prstGeom prst="rect">
          <a:avLst/>
        </a:prstGeom>
      </xdr:spPr>
    </xdr:pic>
    <xdr:clientData/>
  </xdr:twoCellAnchor>
  <xdr:twoCellAnchor editAs="oneCell">
    <xdr:from>
      <xdr:col>12</xdr:col>
      <xdr:colOff>2238301</xdr:colOff>
      <xdr:row>6</xdr:row>
      <xdr:rowOff>475012</xdr:rowOff>
    </xdr:from>
    <xdr:to>
      <xdr:col>13</xdr:col>
      <xdr:colOff>373519</xdr:colOff>
      <xdr:row>6</xdr:row>
      <xdr:rowOff>1098419</xdr:rowOff>
    </xdr:to>
    <xdr:pic>
      <xdr:nvPicPr>
        <xdr:cNvPr id="11" name="Picture 10" descr="Borough Council of King's Lynn and West Norfolk logo">
          <a:extLst>
            <a:ext uri="{FF2B5EF4-FFF2-40B4-BE49-F238E27FC236}">
              <a16:creationId xmlns:a16="http://schemas.microsoft.com/office/drawing/2014/main" id="{9220F952-FE05-4FE5-A571-E45EC1BA2170}"/>
            </a:ext>
          </a:extLst>
        </xdr:cNvPr>
        <xdr:cNvPicPr>
          <a:picLocks noChangeAspect="1"/>
        </xdr:cNvPicPr>
      </xdr:nvPicPr>
      <xdr:blipFill rotWithShape="1">
        <a:blip xmlns:r="http://schemas.openxmlformats.org/officeDocument/2006/relationships" r:embed="rId8"/>
        <a:srcRect l="9986" t="22685" r="8506" b="25722"/>
        <a:stretch/>
      </xdr:blipFill>
      <xdr:spPr>
        <a:xfrm>
          <a:off x="8694134" y="1360164"/>
          <a:ext cx="1448089" cy="620232"/>
        </a:xfrm>
        <a:prstGeom prst="rect">
          <a:avLst/>
        </a:prstGeom>
      </xdr:spPr>
    </xdr:pic>
    <xdr:clientData/>
  </xdr:twoCellAnchor>
  <xdr:twoCellAnchor editAs="oneCell">
    <xdr:from>
      <xdr:col>8</xdr:col>
      <xdr:colOff>378214</xdr:colOff>
      <xdr:row>3</xdr:row>
      <xdr:rowOff>39554</xdr:rowOff>
    </xdr:from>
    <xdr:to>
      <xdr:col>9</xdr:col>
      <xdr:colOff>847723</xdr:colOff>
      <xdr:row>6</xdr:row>
      <xdr:rowOff>226719</xdr:rowOff>
    </xdr:to>
    <xdr:pic>
      <xdr:nvPicPr>
        <xdr:cNvPr id="12" name="Picture 11" descr="Broadland District Council logo">
          <a:extLst>
            <a:ext uri="{FF2B5EF4-FFF2-40B4-BE49-F238E27FC236}">
              <a16:creationId xmlns:a16="http://schemas.microsoft.com/office/drawing/2014/main" id="{1DADA515-70BB-4A62-AE82-E686B6F192D7}"/>
            </a:ext>
          </a:extLst>
        </xdr:cNvPr>
        <xdr:cNvPicPr>
          <a:picLocks noChangeAspect="1"/>
        </xdr:cNvPicPr>
      </xdr:nvPicPr>
      <xdr:blipFill rotWithShape="1">
        <a:blip xmlns:r="http://schemas.openxmlformats.org/officeDocument/2006/relationships" r:embed="rId9"/>
        <a:srcRect l="4630" t="17796" r="6685" b="23479"/>
        <a:stretch/>
      </xdr:blipFill>
      <xdr:spPr>
        <a:xfrm>
          <a:off x="4592305" y="539857"/>
          <a:ext cx="1300552" cy="568839"/>
        </a:xfrm>
        <a:prstGeom prst="rect">
          <a:avLst/>
        </a:prstGeom>
      </xdr:spPr>
    </xdr:pic>
    <xdr:clientData/>
  </xdr:twoCellAnchor>
  <xdr:twoCellAnchor editAs="oneCell">
    <xdr:from>
      <xdr:col>15</xdr:col>
      <xdr:colOff>46487</xdr:colOff>
      <xdr:row>2</xdr:row>
      <xdr:rowOff>28550</xdr:rowOff>
    </xdr:from>
    <xdr:to>
      <xdr:col>15</xdr:col>
      <xdr:colOff>1086302</xdr:colOff>
      <xdr:row>6</xdr:row>
      <xdr:rowOff>283345</xdr:rowOff>
    </xdr:to>
    <xdr:pic>
      <xdr:nvPicPr>
        <xdr:cNvPr id="13" name="Picture 12" descr="Breckland Council logo">
          <a:extLst>
            <a:ext uri="{FF2B5EF4-FFF2-40B4-BE49-F238E27FC236}">
              <a16:creationId xmlns:a16="http://schemas.microsoft.com/office/drawing/2014/main" id="{3CF935B2-CFCB-47C3-B20F-4F4D2B4D0471}"/>
            </a:ext>
          </a:extLst>
        </xdr:cNvPr>
        <xdr:cNvPicPr>
          <a:picLocks noChangeAspect="1"/>
        </xdr:cNvPicPr>
      </xdr:nvPicPr>
      <xdr:blipFill rotWithShape="1">
        <a:blip xmlns:r="http://schemas.openxmlformats.org/officeDocument/2006/relationships" r:embed="rId10"/>
        <a:srcRect t="11701" b="11701"/>
        <a:stretch/>
      </xdr:blipFill>
      <xdr:spPr>
        <a:xfrm>
          <a:off x="10803002" y="374914"/>
          <a:ext cx="1039815" cy="787232"/>
        </a:xfrm>
        <a:prstGeom prst="rect">
          <a:avLst/>
        </a:prstGeom>
      </xdr:spPr>
    </xdr:pic>
    <xdr:clientData/>
  </xdr:twoCellAnchor>
  <xdr:twoCellAnchor editAs="oneCell">
    <xdr:from>
      <xdr:col>11</xdr:col>
      <xdr:colOff>471440</xdr:colOff>
      <xdr:row>2</xdr:row>
      <xdr:rowOff>125076</xdr:rowOff>
    </xdr:from>
    <xdr:to>
      <xdr:col>12</xdr:col>
      <xdr:colOff>1770303</xdr:colOff>
      <xdr:row>6</xdr:row>
      <xdr:rowOff>240646</xdr:rowOff>
    </xdr:to>
    <xdr:pic>
      <xdr:nvPicPr>
        <xdr:cNvPr id="15" name="Picture 14" descr="Terms and conditions">
          <a:extLst>
            <a:ext uri="{FF2B5EF4-FFF2-40B4-BE49-F238E27FC236}">
              <a16:creationId xmlns:a16="http://schemas.microsoft.com/office/drawing/2014/main" id="{FC21D4CB-696D-4007-8DD9-72558DA0F7D4}"/>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31892"/>
        <a:stretch/>
      </xdr:blipFill>
      <xdr:spPr bwMode="auto">
        <a:xfrm>
          <a:off x="6321137" y="471440"/>
          <a:ext cx="1905000" cy="65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30545</xdr:colOff>
      <xdr:row>28</xdr:row>
      <xdr:rowOff>126369</xdr:rowOff>
    </xdr:from>
    <xdr:to>
      <xdr:col>21</xdr:col>
      <xdr:colOff>33618</xdr:colOff>
      <xdr:row>46</xdr:row>
      <xdr:rowOff>22413</xdr:rowOff>
    </xdr:to>
    <xdr:graphicFrame macro="">
      <xdr:nvGraphicFramePr>
        <xdr:cNvPr id="2" name="Chart 1" descr="Total Phosphorus Zero value calculator graph. X axis shows the percentage of the proposed development that would be set aside. The Y axis shows the total phosphorus load. ">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30442</xdr:colOff>
      <xdr:row>46</xdr:row>
      <xdr:rowOff>142502</xdr:rowOff>
    </xdr:from>
    <xdr:to>
      <xdr:col>21</xdr:col>
      <xdr:colOff>33618</xdr:colOff>
      <xdr:row>53</xdr:row>
      <xdr:rowOff>78443</xdr:rowOff>
    </xdr:to>
    <xdr:graphicFrame macro="">
      <xdr:nvGraphicFramePr>
        <xdr:cNvPr id="3" name="Chart 2" descr="Total Nitrogen Zero value calculator graph. X axis shows the percentage of the proposed development that would be set aside. The Y axis shows the total nitrogen load. ">
          <a:extLst>
            <a:ext uri="{FF2B5EF4-FFF2-40B4-BE49-F238E27FC236}">
              <a16:creationId xmlns:a16="http://schemas.microsoft.com/office/drawing/2014/main" id="{F77A16DB-872A-4482-B701-6193E15F4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30857</xdr:rowOff>
    </xdr:from>
    <xdr:to>
      <xdr:col>17</xdr:col>
      <xdr:colOff>514350</xdr:colOff>
      <xdr:row>50</xdr:row>
      <xdr:rowOff>117363</xdr:rowOff>
    </xdr:to>
    <xdr:pic>
      <xdr:nvPicPr>
        <xdr:cNvPr id="3" name="Picture 2" descr="Average annual rainfall data with the nutrient neutrality catchment. Rainfall ranges from 550 mm per year to 850 mm per year.">
          <a:extLst>
            <a:ext uri="{FF2B5EF4-FFF2-40B4-BE49-F238E27FC236}">
              <a16:creationId xmlns:a16="http://schemas.microsoft.com/office/drawing/2014/main" id="{29A31306-67C7-4E32-966E-B1034A6A0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0957"/>
          <a:ext cx="10877550" cy="769698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2:K86" totalsRowShown="0" headerRowDxfId="36" dataDxfId="34" headerRowBorderDxfId="35" tableBorderDxfId="33">
  <autoFilter ref="B2:K86" xr:uid="{3C00E521-38CF-41F5-8D98-30C4E17CD153}"/>
  <tableColumns count="10">
    <tableColumn id="1" xr3:uid="{132379D4-C42C-4272-812E-BCF4A7023A8D}" name="Water Recycling Centre (WRC)" dataDxfId="32" totalsRowDxfId="31"/>
    <tableColumn id="5" xr3:uid="{D0943D36-4853-46E8-AAD6-A7C7B162A51E}" name="2022 Value known?" dataDxfId="30" totalsRowDxfId="29"/>
    <tableColumn id="2" xr3:uid="{D6A22126-B925-404C-A585-55B346310981}" name="2022 TP Discharge level (mg/l)" dataDxfId="28" totalsRowDxfId="27">
      <calculatedColumnFormula>IF(Table1[[#This Row],[2022 Value known?]]="No",5,0)</calculatedColumnFormula>
    </tableColumn>
    <tableColumn id="3" xr3:uid="{9BC600AB-76A0-4516-B4DA-50BC5EC8D645}" name="2022 TN Discharge level (mg/l)" dataDxfId="26" totalsRowDxfId="25">
      <calculatedColumnFormula>25</calculatedColumnFormula>
    </tableColumn>
    <tableColumn id="9" xr3:uid="{02C1601F-537C-4927-BBE9-D2E1E65DA0A7}" name="2025 Value known?" dataDxfId="24" totalsRowDxfId="23"/>
    <tableColumn id="4" xr3:uid="{21F8819C-8D6D-4BEC-B9B0-DA963C1AB5B1}" name="Post 2025 TP Discharge level (mg/l)" dataDxfId="22" totalsRowDxfId="21"/>
    <tableColumn id="7" xr3:uid="{AB3C6A67-6E39-4B71-B47E-1C8781DD7085}" name="Post 2025 TN Discharge level (mg/l)" dataDxfId="20" totalsRowDxfId="19">
      <calculatedColumnFormula>27</calculatedColumnFormula>
    </tableColumn>
    <tableColumn id="6" xr3:uid="{B723A150-F8E0-4339-969C-B4800DF4534A}" name="2030 Value known?" dataDxfId="18" totalsRowDxfId="17"/>
    <tableColumn id="8" xr3:uid="{F4BECF41-3F5C-4C58-BD2D-5DE270984B75}" name="Post 2030 TP discharge level (mg/l)" dataDxfId="16" totalsRowDxfId="15">
      <calculatedColumnFormula>0.25*0.9</calculatedColumnFormula>
    </tableColumn>
    <tableColumn id="10" xr3:uid="{87D0FDE5-3EFD-4EAA-9163-0FD84F4AF4C9}" name="Post 2030 TN discharge level (mg/l)" dataDxfId="14" totalsRowDxfId="13">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N2:P9" totalsRowShown="0" headerRowDxfId="12" dataDxfId="11">
  <autoFilter ref="N2:P9" xr:uid="{307B00A4-2832-4B35-8D42-EC8056ECD36B}"/>
  <tableColumns count="3">
    <tableColumn id="1" xr3:uid="{F981CFFB-C24C-45E2-8261-567716B0350F}" name="Land Use classification" dataDxfId="10"/>
    <tableColumn id="2" xr3:uid="{34307E7B-4C87-4413-8E9E-C80DC28B03B9}" name="Leaching rate (kg / ha / yr)" dataDxfId="9"/>
    <tableColumn id="3" xr3:uid="{F4E9D1F1-C17A-4E20-BEB2-5DADDEE89633}" name="Leaching rate (kg / ha / yr)2" dataDxfId="8"/>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N17:P22" totalsRowShown="0" headerRowDxfId="7" dataDxfId="5" headerRowBorderDxfId="6" tableBorderDxfId="4" totalsRowBorderDxfId="3">
  <autoFilter ref="N17:P22" xr:uid="{C8654144-2481-488B-9565-63F87905A271}"/>
  <tableColumns count="3">
    <tableColumn id="1" xr3:uid="{5F34F050-241F-4B01-932B-F47E0A2DE76F}" name="Treatment type" dataDxfId="2"/>
    <tableColumn id="2" xr3:uid="{8FB3D500-BA37-4D3E-90E9-07694A8FAE99}" name="P removal" dataDxfId="1"/>
    <tableColumn id="3" xr3:uid="{A8042B82-2E28-46C4-BE86-B2BD16558A98}" name="N removal"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7" Type="http://schemas.openxmlformats.org/officeDocument/2006/relationships/drawing" Target="../drawings/drawing1.xml"/><Relationship Id="rId2" Type="http://schemas.openxmlformats.org/officeDocument/2006/relationships/hyperlink" Target="https://environment.data.gov.uk/catchment-planning/ManagementCatchment/3008" TargetMode="External"/><Relationship Id="rId1" Type="http://schemas.openxmlformats.org/officeDocument/2006/relationships/hyperlink" Target="https://gridreferencefinder.com/"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www.landis.org.uk/soilscapes/index.cfm"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sheetPr>
    <tabColor theme="9" tint="0.79998168889431442"/>
  </sheetPr>
  <dimension ref="A1:S219"/>
  <sheetViews>
    <sheetView tabSelected="1" zoomScaleNormal="100" workbookViewId="0">
      <selection activeCell="C15" sqref="C15"/>
    </sheetView>
  </sheetViews>
  <sheetFormatPr defaultRowHeight="12.5" x14ac:dyDescent="0.25"/>
  <cols>
    <col min="1" max="1" width="5.26953125" customWidth="1"/>
    <col min="2" max="2" width="1.1796875" customWidth="1"/>
    <col min="3" max="3" width="7.453125" customWidth="1"/>
    <col min="4" max="4" width="5.7265625" customWidth="1"/>
    <col min="6" max="6" width="10.81640625" customWidth="1"/>
    <col min="7" max="7" width="13" customWidth="1"/>
    <col min="8" max="8" width="11.7265625" customWidth="1"/>
    <col min="9" max="9" width="11.81640625" customWidth="1"/>
    <col min="10" max="10" width="12.6328125" customWidth="1"/>
    <col min="13" max="13" width="47.453125" customWidth="1"/>
    <col min="14" max="14" width="8.7265625" customWidth="1"/>
    <col min="15" max="15" width="5.453125" customWidth="1"/>
    <col min="16" max="16" width="59.7265625" customWidth="1"/>
    <col min="17" max="17" width="1.453125" customWidth="1"/>
  </cols>
  <sheetData>
    <row r="1" spans="1:17" ht="13.5" thickBot="1" x14ac:dyDescent="0.35">
      <c r="A1" s="46" t="s">
        <v>598</v>
      </c>
    </row>
    <row r="2" spans="1:17" ht="14.5" customHeight="1" x14ac:dyDescent="0.25">
      <c r="B2" s="2"/>
      <c r="C2" s="37"/>
      <c r="D2" s="37"/>
      <c r="E2" s="37"/>
      <c r="F2" s="37"/>
      <c r="G2" s="37"/>
      <c r="H2" s="37"/>
      <c r="I2" s="37"/>
      <c r="J2" s="37"/>
      <c r="K2" s="37"/>
      <c r="L2" s="37"/>
      <c r="M2" s="37"/>
      <c r="N2" s="37"/>
      <c r="O2" s="37"/>
      <c r="P2" s="37"/>
      <c r="Q2" s="4"/>
    </row>
    <row r="3" spans="1:17" ht="12" customHeight="1" x14ac:dyDescent="0.25">
      <c r="B3" s="5"/>
      <c r="C3" s="44" t="s">
        <v>614</v>
      </c>
      <c r="D3" s="43"/>
      <c r="E3" s="43"/>
      <c r="F3" s="43"/>
      <c r="G3" s="43"/>
      <c r="H3" s="13"/>
      <c r="I3" s="13"/>
      <c r="J3" s="13"/>
      <c r="K3" s="13"/>
      <c r="L3" s="13"/>
      <c r="M3" s="80"/>
      <c r="N3" s="13"/>
      <c r="O3" s="13"/>
      <c r="P3" s="13"/>
      <c r="Q3" s="7"/>
    </row>
    <row r="4" spans="1:17" ht="11.5" customHeight="1" x14ac:dyDescent="0.25">
      <c r="B4" s="5"/>
      <c r="C4" s="13"/>
      <c r="D4" s="13"/>
      <c r="E4" s="39"/>
      <c r="F4" s="39"/>
      <c r="G4" s="39"/>
      <c r="H4" s="39"/>
      <c r="I4" s="39"/>
      <c r="J4" s="39"/>
      <c r="K4" s="39"/>
      <c r="L4" s="39"/>
      <c r="M4" s="39"/>
      <c r="N4" s="39"/>
      <c r="O4" s="39"/>
      <c r="P4" s="39"/>
      <c r="Q4" s="7"/>
    </row>
    <row r="5" spans="1:17" ht="6" customHeight="1" x14ac:dyDescent="0.25">
      <c r="B5" s="5"/>
      <c r="C5" s="13"/>
      <c r="D5" s="13"/>
      <c r="E5" s="39"/>
      <c r="F5" s="39"/>
      <c r="G5" s="39"/>
      <c r="H5" s="39"/>
      <c r="I5" s="39"/>
      <c r="J5" s="39"/>
      <c r="K5" s="39"/>
      <c r="L5" s="39"/>
      <c r="M5" s="39"/>
      <c r="N5" s="39"/>
      <c r="O5" s="39"/>
      <c r="P5" s="39"/>
      <c r="Q5" s="7"/>
    </row>
    <row r="6" spans="1:17" x14ac:dyDescent="0.25">
      <c r="B6" s="5"/>
      <c r="C6" s="6"/>
      <c r="D6" s="6"/>
      <c r="E6" s="40"/>
      <c r="F6" s="39"/>
      <c r="G6" s="39"/>
      <c r="H6" s="39"/>
      <c r="I6" s="39"/>
      <c r="J6" s="39"/>
      <c r="K6" s="39"/>
      <c r="L6" s="1"/>
      <c r="M6" s="39"/>
      <c r="N6" s="39"/>
      <c r="O6" s="39"/>
      <c r="P6" s="39"/>
      <c r="Q6" s="7"/>
    </row>
    <row r="7" spans="1:17" ht="103.5" customHeight="1" x14ac:dyDescent="0.35">
      <c r="B7" s="5"/>
      <c r="C7" s="456" t="s">
        <v>42</v>
      </c>
      <c r="D7" s="456"/>
      <c r="F7" s="47"/>
      <c r="G7" s="47"/>
      <c r="H7" s="81"/>
      <c r="I7" s="47"/>
      <c r="J7" s="47"/>
      <c r="K7" s="47"/>
      <c r="L7" s="47"/>
      <c r="M7" s="47"/>
      <c r="N7" s="47"/>
      <c r="O7" s="47"/>
      <c r="P7" s="47"/>
      <c r="Q7" s="7"/>
    </row>
    <row r="8" spans="1:17" ht="99" customHeight="1" x14ac:dyDescent="0.25">
      <c r="B8" s="5"/>
      <c r="C8" s="425" t="s">
        <v>615</v>
      </c>
      <c r="D8" s="425"/>
      <c r="E8" s="425"/>
      <c r="F8" s="425"/>
      <c r="G8" s="425"/>
      <c r="H8" s="425"/>
      <c r="I8" s="425"/>
      <c r="J8" s="425"/>
      <c r="K8" s="425"/>
      <c r="L8" s="425"/>
      <c r="M8" s="425"/>
      <c r="N8" s="425"/>
      <c r="O8" s="425"/>
      <c r="P8" s="425"/>
      <c r="Q8" s="7"/>
    </row>
    <row r="9" spans="1:17" ht="23.15" customHeight="1" x14ac:dyDescent="0.25">
      <c r="B9" s="5"/>
      <c r="C9" s="425" t="s">
        <v>267</v>
      </c>
      <c r="D9" s="425"/>
      <c r="E9" s="425"/>
      <c r="F9" s="425"/>
      <c r="G9" s="425"/>
      <c r="H9" s="425"/>
      <c r="I9" s="425"/>
      <c r="J9" s="425"/>
      <c r="K9" s="425"/>
      <c r="L9" s="425"/>
      <c r="M9" s="425"/>
      <c r="N9" s="425"/>
      <c r="O9" s="425"/>
      <c r="P9" s="425"/>
      <c r="Q9" s="7"/>
    </row>
    <row r="10" spans="1:17" ht="16" customHeight="1" x14ac:dyDescent="0.25">
      <c r="B10" s="5"/>
      <c r="C10" s="425"/>
      <c r="D10" s="425"/>
      <c r="E10" s="425"/>
      <c r="F10" s="425"/>
      <c r="G10" s="425"/>
      <c r="H10" s="425"/>
      <c r="I10" s="425"/>
      <c r="J10" s="425"/>
      <c r="K10" s="425"/>
      <c r="L10" s="425"/>
      <c r="M10" s="425"/>
      <c r="N10" s="425"/>
      <c r="O10" s="425"/>
      <c r="P10" s="425"/>
      <c r="Q10" s="7"/>
    </row>
    <row r="11" spans="1:17" ht="49" customHeight="1" x14ac:dyDescent="0.25">
      <c r="B11" s="5"/>
      <c r="C11" s="425" t="s">
        <v>527</v>
      </c>
      <c r="D11" s="425"/>
      <c r="E11" s="425"/>
      <c r="F11" s="425"/>
      <c r="G11" s="425"/>
      <c r="H11" s="425"/>
      <c r="I11" s="425"/>
      <c r="J11" s="425"/>
      <c r="K11" s="425"/>
      <c r="L11" s="425"/>
      <c r="M11" s="425"/>
      <c r="N11" s="425"/>
      <c r="O11" s="425"/>
      <c r="P11" s="425"/>
      <c r="Q11" s="7"/>
    </row>
    <row r="12" spans="1:17" ht="34" customHeight="1" x14ac:dyDescent="0.25">
      <c r="B12" s="5"/>
      <c r="C12" s="425" t="s">
        <v>268</v>
      </c>
      <c r="D12" s="425"/>
      <c r="E12" s="425"/>
      <c r="F12" s="425"/>
      <c r="G12" s="425"/>
      <c r="H12" s="425"/>
      <c r="I12" s="425"/>
      <c r="J12" s="425"/>
      <c r="K12" s="425"/>
      <c r="L12" s="425"/>
      <c r="M12" s="425"/>
      <c r="N12" s="425"/>
      <c r="O12" s="425"/>
      <c r="P12" s="425"/>
      <c r="Q12" s="7"/>
    </row>
    <row r="13" spans="1:17" ht="19.5" customHeight="1" x14ac:dyDescent="0.25">
      <c r="B13" s="5"/>
      <c r="C13" s="459" t="s">
        <v>544</v>
      </c>
      <c r="D13" s="459"/>
      <c r="E13" s="459"/>
      <c r="F13" s="459"/>
      <c r="G13" s="459"/>
      <c r="H13" s="459"/>
      <c r="I13" s="459"/>
      <c r="J13" s="459"/>
      <c r="K13" s="459"/>
      <c r="L13" s="459"/>
      <c r="M13" s="459"/>
      <c r="N13" s="459"/>
      <c r="O13" s="459"/>
      <c r="P13" s="459"/>
      <c r="Q13" s="7"/>
    </row>
    <row r="14" spans="1:17" ht="135.5" customHeight="1" x14ac:dyDescent="0.25">
      <c r="B14" s="5"/>
      <c r="C14" s="459"/>
      <c r="D14" s="459"/>
      <c r="E14" s="459"/>
      <c r="F14" s="459"/>
      <c r="G14" s="459"/>
      <c r="H14" s="459"/>
      <c r="I14" s="459"/>
      <c r="J14" s="459"/>
      <c r="K14" s="459"/>
      <c r="L14" s="459"/>
      <c r="M14" s="459"/>
      <c r="N14" s="459"/>
      <c r="O14" s="459"/>
      <c r="P14" s="459"/>
      <c r="Q14" s="7"/>
    </row>
    <row r="15" spans="1:17" ht="17.149999999999999" customHeight="1" x14ac:dyDescent="0.25">
      <c r="B15" s="5"/>
      <c r="C15" s="413" t="s">
        <v>45</v>
      </c>
      <c r="D15" s="56"/>
      <c r="E15" s="56"/>
      <c r="F15" s="56"/>
      <c r="G15" s="56"/>
      <c r="H15" s="56"/>
      <c r="I15" s="56"/>
      <c r="J15" s="56"/>
      <c r="K15" s="159"/>
      <c r="L15" s="159"/>
      <c r="M15" s="159"/>
      <c r="N15" s="159"/>
      <c r="O15" s="159"/>
      <c r="P15" s="159"/>
      <c r="Q15" s="7"/>
    </row>
    <row r="16" spans="1:17" ht="5.15" customHeight="1" x14ac:dyDescent="0.25">
      <c r="B16" s="5"/>
      <c r="C16" s="44"/>
      <c r="D16" s="56"/>
      <c r="E16" s="56"/>
      <c r="F16" s="56"/>
      <c r="G16" s="56"/>
      <c r="H16" s="56"/>
      <c r="I16" s="56"/>
      <c r="J16" s="56"/>
      <c r="K16" s="159"/>
      <c r="L16" s="159"/>
      <c r="M16" s="159"/>
      <c r="N16" s="159"/>
      <c r="O16" s="159"/>
      <c r="P16" s="159"/>
      <c r="Q16" s="7"/>
    </row>
    <row r="17" spans="2:17" ht="56" customHeight="1" x14ac:dyDescent="0.25">
      <c r="B17" s="5"/>
      <c r="C17" s="425" t="s">
        <v>269</v>
      </c>
      <c r="D17" s="425"/>
      <c r="E17" s="425"/>
      <c r="F17" s="425"/>
      <c r="G17" s="425"/>
      <c r="H17" s="425"/>
      <c r="I17" s="425"/>
      <c r="J17" s="425"/>
      <c r="K17" s="425"/>
      <c r="L17" s="425"/>
      <c r="M17" s="425"/>
      <c r="N17" s="425"/>
      <c r="O17" s="425"/>
      <c r="P17" s="425"/>
      <c r="Q17" s="7"/>
    </row>
    <row r="18" spans="2:17" ht="16" customHeight="1" x14ac:dyDescent="0.25">
      <c r="B18" s="5"/>
      <c r="C18" s="447" t="s">
        <v>131</v>
      </c>
      <c r="D18" s="447"/>
      <c r="E18" s="447"/>
      <c r="F18" s="447"/>
      <c r="G18" s="447"/>
      <c r="H18" s="447"/>
      <c r="I18" s="447"/>
      <c r="J18" s="447"/>
      <c r="K18" s="447"/>
      <c r="L18" s="447"/>
      <c r="M18" s="447"/>
      <c r="N18" s="159"/>
      <c r="O18" s="159"/>
      <c r="P18" s="159"/>
      <c r="Q18" s="7"/>
    </row>
    <row r="19" spans="2:17" ht="44.5" customHeight="1" x14ac:dyDescent="0.25">
      <c r="B19" s="5"/>
      <c r="C19" s="425" t="s">
        <v>135</v>
      </c>
      <c r="D19" s="425"/>
      <c r="E19" s="425"/>
      <c r="F19" s="425"/>
      <c r="G19" s="425"/>
      <c r="H19" s="425"/>
      <c r="I19" s="425"/>
      <c r="J19" s="425"/>
      <c r="K19" s="425"/>
      <c r="L19" s="425"/>
      <c r="M19" s="425"/>
      <c r="N19" s="425"/>
      <c r="O19" s="425"/>
      <c r="P19" s="425"/>
      <c r="Q19" s="7"/>
    </row>
    <row r="20" spans="2:17" ht="98" customHeight="1" x14ac:dyDescent="0.25">
      <c r="B20" s="5"/>
      <c r="C20" s="425" t="s">
        <v>136</v>
      </c>
      <c r="D20" s="425"/>
      <c r="E20" s="425"/>
      <c r="F20" s="425"/>
      <c r="G20" s="425"/>
      <c r="H20" s="425"/>
      <c r="I20" s="425"/>
      <c r="J20" s="425"/>
      <c r="K20" s="425"/>
      <c r="L20" s="425"/>
      <c r="M20" s="425"/>
      <c r="N20" s="425"/>
      <c r="O20" s="425"/>
      <c r="P20" s="425"/>
      <c r="Q20" s="7"/>
    </row>
    <row r="21" spans="2:17" ht="31.5" customHeight="1" x14ac:dyDescent="0.25">
      <c r="B21" s="5"/>
      <c r="C21" s="447" t="s">
        <v>270</v>
      </c>
      <c r="D21" s="447"/>
      <c r="E21" s="447"/>
      <c r="F21" s="447"/>
      <c r="G21" s="447"/>
      <c r="H21" s="447"/>
      <c r="I21" s="447"/>
      <c r="J21" s="447"/>
      <c r="K21" s="447"/>
      <c r="L21" s="447"/>
      <c r="M21" s="447"/>
      <c r="N21" s="159"/>
      <c r="O21" s="159"/>
      <c r="P21" s="159"/>
      <c r="Q21" s="7"/>
    </row>
    <row r="22" spans="2:17" ht="16" customHeight="1" x14ac:dyDescent="0.25">
      <c r="B22" s="5"/>
      <c r="C22" s="447" t="s">
        <v>616</v>
      </c>
      <c r="D22" s="447"/>
      <c r="E22" s="447"/>
      <c r="F22" s="447"/>
      <c r="G22" s="447"/>
      <c r="H22" s="447"/>
      <c r="I22" s="447"/>
      <c r="J22" s="447"/>
      <c r="K22" s="447"/>
      <c r="L22" s="447"/>
      <c r="M22" s="447"/>
      <c r="N22" s="159"/>
      <c r="O22" s="159"/>
      <c r="P22" s="159"/>
      <c r="Q22" s="7"/>
    </row>
    <row r="23" spans="2:17" ht="9.65" customHeight="1" x14ac:dyDescent="0.25">
      <c r="B23" s="5"/>
      <c r="C23" s="160"/>
      <c r="D23" s="160"/>
      <c r="E23" s="160"/>
      <c r="F23" s="160"/>
      <c r="G23" s="160"/>
      <c r="H23" s="160"/>
      <c r="I23" s="160"/>
      <c r="J23" s="160"/>
      <c r="K23" s="160"/>
      <c r="L23" s="160"/>
      <c r="M23" s="160"/>
      <c r="N23" s="160"/>
      <c r="O23" s="160"/>
      <c r="P23" s="160"/>
      <c r="Q23" s="7"/>
    </row>
    <row r="24" spans="2:17" ht="15.5" x14ac:dyDescent="0.25">
      <c r="B24" s="5"/>
      <c r="C24" s="457" t="s">
        <v>44</v>
      </c>
      <c r="D24" s="457"/>
      <c r="E24" s="56"/>
      <c r="F24" s="56"/>
      <c r="G24" s="56"/>
      <c r="H24" s="56"/>
      <c r="I24" s="56"/>
      <c r="J24" s="56"/>
      <c r="K24" s="56"/>
      <c r="L24" s="56"/>
      <c r="M24" s="56"/>
      <c r="N24" s="56"/>
      <c r="O24" s="56"/>
      <c r="P24" s="56"/>
      <c r="Q24" s="7"/>
    </row>
    <row r="25" spans="2:17" ht="5.5" customHeight="1" x14ac:dyDescent="0.25">
      <c r="B25" s="5"/>
      <c r="C25" s="56"/>
      <c r="D25" s="56"/>
      <c r="E25" s="56"/>
      <c r="F25" s="56"/>
      <c r="G25" s="56"/>
      <c r="H25" s="56"/>
      <c r="I25" s="56"/>
      <c r="J25" s="56"/>
      <c r="K25" s="56"/>
      <c r="L25" s="56"/>
      <c r="M25" s="56"/>
      <c r="N25" s="56"/>
      <c r="O25" s="56"/>
      <c r="P25" s="56"/>
      <c r="Q25" s="7"/>
    </row>
    <row r="26" spans="2:17" ht="15.5" x14ac:dyDescent="0.25">
      <c r="B26" s="5"/>
      <c r="C26" s="447" t="s">
        <v>72</v>
      </c>
      <c r="D26" s="447"/>
      <c r="E26" s="447"/>
      <c r="F26" s="447"/>
      <c r="G26" s="447"/>
      <c r="H26" s="447"/>
      <c r="I26" s="447"/>
      <c r="J26" s="447"/>
      <c r="K26" s="447"/>
      <c r="L26" s="447"/>
      <c r="M26" s="56"/>
      <c r="N26" s="56"/>
      <c r="O26" s="56"/>
      <c r="P26" s="56"/>
      <c r="Q26" s="7"/>
    </row>
    <row r="27" spans="2:17" ht="15.5" x14ac:dyDescent="0.25">
      <c r="B27" s="5"/>
      <c r="C27" s="159"/>
      <c r="D27" s="56"/>
      <c r="E27" s="56"/>
      <c r="F27" s="56"/>
      <c r="G27" s="56"/>
      <c r="H27" s="56"/>
      <c r="I27" s="56"/>
      <c r="J27" s="56"/>
      <c r="K27" s="56"/>
      <c r="L27" s="56"/>
      <c r="M27" s="56"/>
      <c r="N27" s="56"/>
      <c r="O27" s="56"/>
      <c r="P27" s="56"/>
      <c r="Q27" s="7"/>
    </row>
    <row r="28" spans="2:17" ht="15.5" x14ac:dyDescent="0.25">
      <c r="B28" s="5"/>
      <c r="C28" s="211"/>
      <c r="D28" s="56"/>
      <c r="E28" s="447" t="s">
        <v>73</v>
      </c>
      <c r="F28" s="447"/>
      <c r="G28" s="447"/>
      <c r="H28" s="447"/>
      <c r="I28" s="447"/>
      <c r="J28" s="447"/>
      <c r="K28" s="447"/>
      <c r="L28" s="447"/>
      <c r="M28" s="56"/>
      <c r="N28" s="56"/>
      <c r="O28" s="56"/>
      <c r="P28" s="56"/>
      <c r="Q28" s="7"/>
    </row>
    <row r="29" spans="2:17" ht="15.5" x14ac:dyDescent="0.25">
      <c r="B29" s="5"/>
      <c r="C29" s="212"/>
      <c r="D29" s="56"/>
      <c r="E29" s="447" t="s">
        <v>74</v>
      </c>
      <c r="F29" s="447"/>
      <c r="G29" s="447"/>
      <c r="H29" s="447"/>
      <c r="I29" s="447"/>
      <c r="J29" s="447"/>
      <c r="K29" s="447"/>
      <c r="L29" s="447"/>
      <c r="M29" s="56"/>
      <c r="N29" s="56"/>
      <c r="O29" s="56"/>
      <c r="P29" s="56"/>
      <c r="Q29" s="7"/>
    </row>
    <row r="30" spans="2:17" ht="15.5" x14ac:dyDescent="0.25">
      <c r="B30" s="5"/>
      <c r="C30" s="56"/>
      <c r="D30" s="56"/>
      <c r="E30" s="56"/>
      <c r="F30" s="56"/>
      <c r="G30" s="56"/>
      <c r="H30" s="56"/>
      <c r="I30" s="56"/>
      <c r="J30" s="56"/>
      <c r="K30" s="56"/>
      <c r="L30" s="56"/>
      <c r="M30" s="56"/>
      <c r="N30" s="56"/>
      <c r="O30" s="56"/>
      <c r="P30" s="56"/>
      <c r="Q30" s="7"/>
    </row>
    <row r="31" spans="2:17" ht="15.5" x14ac:dyDescent="0.25">
      <c r="B31" s="5"/>
      <c r="C31" s="458" t="s">
        <v>43</v>
      </c>
      <c r="D31" s="458"/>
      <c r="E31" s="210"/>
      <c r="F31" s="210"/>
      <c r="G31" s="210"/>
      <c r="H31" s="210"/>
      <c r="I31" s="210"/>
      <c r="J31" s="210"/>
      <c r="K31" s="210"/>
      <c r="L31" s="210"/>
      <c r="M31" s="210"/>
      <c r="N31" s="210"/>
      <c r="O31" s="210"/>
      <c r="P31" s="210"/>
      <c r="Q31" s="7"/>
    </row>
    <row r="32" spans="2:17" ht="13.5" customHeight="1" x14ac:dyDescent="0.25">
      <c r="B32" s="5"/>
      <c r="C32" s="163"/>
      <c r="D32" s="163"/>
      <c r="E32" s="213"/>
      <c r="F32" s="213"/>
      <c r="G32" s="213"/>
      <c r="H32" s="213"/>
      <c r="I32" s="213"/>
      <c r="J32" s="213"/>
      <c r="K32" s="213"/>
      <c r="L32" s="213"/>
      <c r="M32" s="213"/>
      <c r="N32" s="213"/>
      <c r="O32" s="213"/>
      <c r="P32" s="213"/>
      <c r="Q32" s="7"/>
    </row>
    <row r="33" spans="2:17" ht="187" customHeight="1" x14ac:dyDescent="0.25">
      <c r="B33" s="5"/>
      <c r="C33" s="425" t="s">
        <v>603</v>
      </c>
      <c r="D33" s="425"/>
      <c r="E33" s="425"/>
      <c r="F33" s="425"/>
      <c r="G33" s="425"/>
      <c r="H33" s="425"/>
      <c r="I33" s="425"/>
      <c r="J33" s="425"/>
      <c r="K33" s="425"/>
      <c r="L33" s="425"/>
      <c r="M33" s="425"/>
      <c r="N33" s="425"/>
      <c r="O33" s="425"/>
      <c r="P33" s="425"/>
      <c r="Q33" s="7"/>
    </row>
    <row r="34" spans="2:17" ht="15.5" x14ac:dyDescent="0.25">
      <c r="B34" s="5"/>
      <c r="C34" s="458" t="s">
        <v>16</v>
      </c>
      <c r="D34" s="458"/>
      <c r="E34" s="44"/>
      <c r="F34" s="44"/>
      <c r="G34" s="44"/>
      <c r="H34" s="44"/>
      <c r="I34" s="44"/>
      <c r="J34" s="44"/>
      <c r="K34" s="44"/>
      <c r="L34" s="44"/>
      <c r="M34" s="44"/>
      <c r="N34" s="44"/>
      <c r="O34" s="44"/>
      <c r="P34" s="44"/>
      <c r="Q34" s="7"/>
    </row>
    <row r="35" spans="2:17" ht="4" customHeight="1" x14ac:dyDescent="0.25">
      <c r="B35" s="5"/>
      <c r="C35" s="44"/>
      <c r="D35" s="44"/>
      <c r="E35" s="44"/>
      <c r="F35" s="44"/>
      <c r="G35" s="44"/>
      <c r="H35" s="44"/>
      <c r="I35" s="44"/>
      <c r="J35" s="44"/>
      <c r="K35" s="44"/>
      <c r="L35" s="44"/>
      <c r="M35" s="44"/>
      <c r="N35" s="44"/>
      <c r="O35" s="44"/>
      <c r="P35" s="44"/>
      <c r="Q35" s="7"/>
    </row>
    <row r="36" spans="2:17" ht="62" customHeight="1" x14ac:dyDescent="0.25">
      <c r="B36" s="5"/>
      <c r="C36" s="434" t="s">
        <v>604</v>
      </c>
      <c r="D36" s="434"/>
      <c r="E36" s="434"/>
      <c r="F36" s="434"/>
      <c r="G36" s="434"/>
      <c r="H36" s="434"/>
      <c r="I36" s="434"/>
      <c r="J36" s="434"/>
      <c r="K36" s="434"/>
      <c r="L36" s="434"/>
      <c r="M36" s="434"/>
      <c r="N36" s="434"/>
      <c r="O36" s="434"/>
      <c r="P36" s="434"/>
      <c r="Q36" s="7"/>
    </row>
    <row r="37" spans="2:17" ht="8.5" customHeight="1" x14ac:dyDescent="0.25">
      <c r="B37" s="5"/>
      <c r="C37" s="44"/>
      <c r="D37" s="44"/>
      <c r="E37" s="44"/>
      <c r="F37" s="44"/>
      <c r="G37" s="44"/>
      <c r="H37" s="44"/>
      <c r="I37" s="44"/>
      <c r="J37" s="44"/>
      <c r="K37" s="44"/>
      <c r="L37" s="44"/>
      <c r="M37" s="44"/>
      <c r="N37" s="44"/>
      <c r="O37" s="44"/>
      <c r="P37" s="44"/>
      <c r="Q37" s="7"/>
    </row>
    <row r="38" spans="2:17" ht="15.5" x14ac:dyDescent="0.25">
      <c r="B38" s="5"/>
      <c r="C38" s="458" t="s">
        <v>29</v>
      </c>
      <c r="D38" s="458"/>
      <c r="E38" s="44"/>
      <c r="F38" s="44"/>
      <c r="G38" s="44"/>
      <c r="H38" s="44"/>
      <c r="I38" s="44"/>
      <c r="J38" s="44"/>
      <c r="K38" s="44"/>
      <c r="L38" s="44"/>
      <c r="M38" s="44"/>
      <c r="N38" s="44"/>
      <c r="O38" s="44"/>
      <c r="P38" s="44"/>
      <c r="Q38" s="7"/>
    </row>
    <row r="39" spans="2:17" ht="3" customHeight="1" x14ac:dyDescent="0.25">
      <c r="B39" s="5"/>
      <c r="C39" s="44"/>
      <c r="D39" s="44"/>
      <c r="E39" s="44"/>
      <c r="F39" s="44"/>
      <c r="G39" s="44"/>
      <c r="H39" s="44"/>
      <c r="I39" s="44"/>
      <c r="J39" s="44"/>
      <c r="K39" s="44"/>
      <c r="L39" s="44"/>
      <c r="M39" s="44"/>
      <c r="N39" s="44"/>
      <c r="O39" s="44"/>
      <c r="P39" s="44"/>
      <c r="Q39" s="7"/>
    </row>
    <row r="40" spans="2:17" ht="75.650000000000006" customHeight="1" x14ac:dyDescent="0.25">
      <c r="B40" s="5"/>
      <c r="C40" s="425" t="s">
        <v>271</v>
      </c>
      <c r="D40" s="425"/>
      <c r="E40" s="425"/>
      <c r="F40" s="425"/>
      <c r="G40" s="425"/>
      <c r="H40" s="425"/>
      <c r="I40" s="425"/>
      <c r="J40" s="425"/>
      <c r="K40" s="425"/>
      <c r="L40" s="425"/>
      <c r="M40" s="425"/>
      <c r="N40" s="425"/>
      <c r="O40" s="425"/>
      <c r="P40" s="425"/>
      <c r="Q40" s="7"/>
    </row>
    <row r="41" spans="2:17" ht="4.5" customHeight="1" x14ac:dyDescent="0.25">
      <c r="B41" s="5"/>
      <c r="C41" s="44"/>
      <c r="D41" s="44"/>
      <c r="E41" s="44"/>
      <c r="F41" s="44"/>
      <c r="G41" s="44"/>
      <c r="H41" s="44"/>
      <c r="I41" s="44"/>
      <c r="J41" s="44"/>
      <c r="K41" s="44"/>
      <c r="L41" s="44"/>
      <c r="M41" s="44"/>
      <c r="N41" s="44"/>
      <c r="O41" s="44"/>
      <c r="P41" s="44"/>
      <c r="Q41" s="7"/>
    </row>
    <row r="42" spans="2:17" ht="19.5" customHeight="1" x14ac:dyDescent="0.25">
      <c r="B42" s="5"/>
      <c r="C42" s="458" t="s">
        <v>30</v>
      </c>
      <c r="D42" s="458"/>
      <c r="E42" s="44"/>
      <c r="F42" s="44"/>
      <c r="G42" s="44"/>
      <c r="H42" s="44"/>
      <c r="I42" s="44"/>
      <c r="J42" s="44"/>
      <c r="K42" s="44"/>
      <c r="L42" s="44"/>
      <c r="M42" s="44"/>
      <c r="N42" s="44"/>
      <c r="O42" s="44"/>
      <c r="P42" s="44"/>
      <c r="Q42" s="7"/>
    </row>
    <row r="43" spans="2:17" ht="5.15" customHeight="1" x14ac:dyDescent="0.25">
      <c r="B43" s="5"/>
      <c r="C43" s="44"/>
      <c r="D43" s="44"/>
      <c r="E43" s="44"/>
      <c r="F43" s="44"/>
      <c r="G43" s="44"/>
      <c r="H43" s="44"/>
      <c r="I43" s="44"/>
      <c r="J43" s="44"/>
      <c r="K43" s="44"/>
      <c r="L43" s="44"/>
      <c r="M43" s="44"/>
      <c r="N43" s="44"/>
      <c r="O43" s="44"/>
      <c r="P43" s="44"/>
      <c r="Q43" s="7"/>
    </row>
    <row r="44" spans="2:17" ht="57" customHeight="1" x14ac:dyDescent="0.25">
      <c r="B44" s="5"/>
      <c r="C44" s="425" t="s">
        <v>446</v>
      </c>
      <c r="D44" s="425"/>
      <c r="E44" s="425"/>
      <c r="F44" s="425"/>
      <c r="G44" s="425"/>
      <c r="H44" s="425"/>
      <c r="I44" s="425"/>
      <c r="J44" s="425"/>
      <c r="K44" s="425"/>
      <c r="L44" s="425"/>
      <c r="M44" s="425"/>
      <c r="N44" s="425"/>
      <c r="O44" s="425"/>
      <c r="P44" s="425"/>
      <c r="Q44" s="7"/>
    </row>
    <row r="45" spans="2:17" ht="5.25" customHeight="1" x14ac:dyDescent="0.25">
      <c r="B45" s="5"/>
      <c r="C45" s="44"/>
      <c r="D45" s="44"/>
      <c r="E45" s="44"/>
      <c r="F45" s="44"/>
      <c r="G45" s="44"/>
      <c r="H45" s="44"/>
      <c r="I45" s="44"/>
      <c r="J45" s="44"/>
      <c r="K45" s="44"/>
      <c r="L45" s="44"/>
      <c r="M45" s="44"/>
      <c r="N45" s="44"/>
      <c r="O45" s="44"/>
      <c r="P45" s="44"/>
      <c r="Q45" s="7"/>
    </row>
    <row r="46" spans="2:17" ht="15.5" x14ac:dyDescent="0.25">
      <c r="B46" s="5"/>
      <c r="C46" s="458" t="s">
        <v>36</v>
      </c>
      <c r="D46" s="458"/>
      <c r="E46" s="44"/>
      <c r="F46" s="44"/>
      <c r="G46" s="44"/>
      <c r="H46" s="44"/>
      <c r="I46" s="44"/>
      <c r="J46" s="44"/>
      <c r="K46" s="44"/>
      <c r="L46" s="44"/>
      <c r="M46" s="44"/>
      <c r="N46" s="44"/>
      <c r="O46" s="44"/>
      <c r="P46" s="44"/>
      <c r="Q46" s="7"/>
    </row>
    <row r="47" spans="2:17" ht="4.5" customHeight="1" x14ac:dyDescent="0.25">
      <c r="B47" s="5"/>
      <c r="C47" s="44"/>
      <c r="D47" s="44"/>
      <c r="E47" s="44"/>
      <c r="F47" s="44"/>
      <c r="G47" s="44"/>
      <c r="H47" s="44"/>
      <c r="I47" s="44"/>
      <c r="J47" s="44"/>
      <c r="K47" s="44"/>
      <c r="L47" s="44"/>
      <c r="M47" s="44"/>
      <c r="N47" s="44"/>
      <c r="O47" s="44"/>
      <c r="P47" s="44"/>
      <c r="Q47" s="7"/>
    </row>
    <row r="48" spans="2:17" ht="109" customHeight="1" x14ac:dyDescent="0.25">
      <c r="B48" s="5"/>
      <c r="C48" s="425" t="s">
        <v>528</v>
      </c>
      <c r="D48" s="425"/>
      <c r="E48" s="425"/>
      <c r="F48" s="425"/>
      <c r="G48" s="425"/>
      <c r="H48" s="425"/>
      <c r="I48" s="425"/>
      <c r="J48" s="425"/>
      <c r="K48" s="425"/>
      <c r="L48" s="425"/>
      <c r="M48" s="425"/>
      <c r="N48" s="425"/>
      <c r="O48" s="425"/>
      <c r="P48" s="425"/>
      <c r="Q48" s="7"/>
    </row>
    <row r="49" spans="2:17" ht="4.5" customHeight="1" x14ac:dyDescent="0.25">
      <c r="B49" s="5"/>
      <c r="C49" s="56"/>
      <c r="D49" s="56"/>
      <c r="E49" s="56"/>
      <c r="F49" s="56"/>
      <c r="G49" s="56"/>
      <c r="H49" s="56"/>
      <c r="I49" s="56"/>
      <c r="J49" s="56"/>
      <c r="K49" s="56"/>
      <c r="L49" s="56"/>
      <c r="M49" s="56"/>
      <c r="N49" s="56"/>
      <c r="O49" s="56"/>
      <c r="P49" s="56"/>
      <c r="Q49" s="7"/>
    </row>
    <row r="50" spans="2:17" ht="15.5" x14ac:dyDescent="0.25">
      <c r="B50" s="5"/>
      <c r="C50" s="458" t="s">
        <v>66</v>
      </c>
      <c r="D50" s="458"/>
      <c r="E50" s="56"/>
      <c r="F50" s="56"/>
      <c r="G50" s="56"/>
      <c r="H50" s="56"/>
      <c r="I50" s="56"/>
      <c r="J50" s="56"/>
      <c r="K50" s="56"/>
      <c r="L50" s="56"/>
      <c r="M50" s="56"/>
      <c r="N50" s="56"/>
      <c r="O50" s="56"/>
      <c r="P50" s="56"/>
      <c r="Q50" s="7"/>
    </row>
    <row r="51" spans="2:17" ht="4.5" customHeight="1" x14ac:dyDescent="0.25">
      <c r="B51" s="5"/>
      <c r="C51" s="44"/>
      <c r="D51" s="56"/>
      <c r="E51" s="56"/>
      <c r="F51" s="56"/>
      <c r="G51" s="56"/>
      <c r="H51" s="56"/>
      <c r="I51" s="56"/>
      <c r="J51" s="56"/>
      <c r="K51" s="56"/>
      <c r="L51" s="56"/>
      <c r="M51" s="56"/>
      <c r="N51" s="56"/>
      <c r="O51" s="56"/>
      <c r="P51" s="56"/>
      <c r="Q51" s="7"/>
    </row>
    <row r="52" spans="2:17" ht="78.650000000000006" customHeight="1" x14ac:dyDescent="0.25">
      <c r="B52" s="5"/>
      <c r="C52" s="425" t="s">
        <v>529</v>
      </c>
      <c r="D52" s="425"/>
      <c r="E52" s="425"/>
      <c r="F52" s="425"/>
      <c r="G52" s="425"/>
      <c r="H52" s="425"/>
      <c r="I52" s="425"/>
      <c r="J52" s="425"/>
      <c r="K52" s="425"/>
      <c r="L52" s="425"/>
      <c r="M52" s="425"/>
      <c r="N52" s="425"/>
      <c r="O52" s="425"/>
      <c r="P52" s="425"/>
      <c r="Q52" s="7"/>
    </row>
    <row r="53" spans="2:17" ht="7" customHeight="1" x14ac:dyDescent="0.25">
      <c r="B53" s="5"/>
      <c r="C53" s="56"/>
      <c r="D53" s="56"/>
      <c r="E53" s="56"/>
      <c r="F53" s="56"/>
      <c r="G53" s="56"/>
      <c r="H53" s="56"/>
      <c r="I53" s="56"/>
      <c r="J53" s="56"/>
      <c r="K53" s="56"/>
      <c r="L53" s="56"/>
      <c r="M53" s="56"/>
      <c r="N53" s="56"/>
      <c r="O53" s="56"/>
      <c r="P53" s="56"/>
      <c r="Q53" s="7"/>
    </row>
    <row r="54" spans="2:17" ht="15.5" x14ac:dyDescent="0.25">
      <c r="B54" s="5"/>
      <c r="C54" s="458" t="s">
        <v>69</v>
      </c>
      <c r="D54" s="458"/>
      <c r="E54" s="56"/>
      <c r="F54" s="56"/>
      <c r="G54" s="56"/>
      <c r="H54" s="56"/>
      <c r="I54" s="56"/>
      <c r="J54" s="56"/>
      <c r="K54" s="56"/>
      <c r="L54" s="56"/>
      <c r="M54" s="56"/>
      <c r="N54" s="56"/>
      <c r="O54" s="56"/>
      <c r="P54" s="56"/>
      <c r="Q54" s="7"/>
    </row>
    <row r="55" spans="2:17" ht="5.15" customHeight="1" x14ac:dyDescent="0.25">
      <c r="B55" s="5"/>
      <c r="C55" s="56"/>
      <c r="D55" s="56"/>
      <c r="E55" s="56"/>
      <c r="F55" s="56"/>
      <c r="G55" s="56"/>
      <c r="H55" s="56"/>
      <c r="I55" s="56"/>
      <c r="J55" s="56"/>
      <c r="K55" s="56"/>
      <c r="L55" s="56"/>
      <c r="M55" s="56"/>
      <c r="N55" s="56"/>
      <c r="O55" s="56"/>
      <c r="P55" s="56"/>
      <c r="Q55" s="7"/>
    </row>
    <row r="56" spans="2:17" ht="28.5" customHeight="1" x14ac:dyDescent="0.25">
      <c r="B56" s="5"/>
      <c r="C56" s="425" t="s">
        <v>530</v>
      </c>
      <c r="D56" s="425"/>
      <c r="E56" s="425"/>
      <c r="F56" s="425"/>
      <c r="G56" s="425"/>
      <c r="H56" s="425"/>
      <c r="I56" s="425"/>
      <c r="J56" s="425"/>
      <c r="K56" s="425"/>
      <c r="L56" s="425"/>
      <c r="M56" s="425"/>
      <c r="N56" s="425"/>
      <c r="O56" s="425"/>
      <c r="P56" s="425"/>
      <c r="Q56" s="7"/>
    </row>
    <row r="57" spans="2:17" ht="9.65" customHeight="1" x14ac:dyDescent="0.25">
      <c r="B57" s="5"/>
      <c r="C57" s="56"/>
      <c r="D57" s="56"/>
      <c r="E57" s="56"/>
      <c r="F57" s="56"/>
      <c r="G57" s="56"/>
      <c r="H57" s="56"/>
      <c r="I57" s="56"/>
      <c r="J57" s="56"/>
      <c r="K57" s="56"/>
      <c r="L57" s="56"/>
      <c r="M57" s="56"/>
      <c r="N57" s="56"/>
      <c r="O57" s="56"/>
      <c r="P57" s="56"/>
      <c r="Q57" s="7"/>
    </row>
    <row r="58" spans="2:17" ht="9.65" customHeight="1" x14ac:dyDescent="0.25">
      <c r="B58" s="5"/>
      <c r="C58" s="457" t="s">
        <v>124</v>
      </c>
      <c r="D58" s="457"/>
      <c r="E58" s="457"/>
      <c r="F58" s="56"/>
      <c r="G58" s="56"/>
      <c r="H58" s="56"/>
      <c r="I58" s="56"/>
      <c r="J58" s="56"/>
      <c r="K58" s="56"/>
      <c r="L58" s="56"/>
      <c r="M58" s="56"/>
      <c r="N58" s="56"/>
      <c r="O58" s="56"/>
      <c r="P58" s="56"/>
      <c r="Q58" s="7"/>
    </row>
    <row r="59" spans="2:17" ht="15.5" x14ac:dyDescent="0.25">
      <c r="B59" s="5"/>
      <c r="C59" s="447" t="s">
        <v>134</v>
      </c>
      <c r="D59" s="447"/>
      <c r="E59" s="447"/>
      <c r="F59" s="447"/>
      <c r="G59" s="447"/>
      <c r="H59" s="447"/>
      <c r="I59" s="447"/>
      <c r="J59" s="447"/>
      <c r="K59" s="447"/>
      <c r="L59" s="447"/>
      <c r="M59" s="447"/>
      <c r="N59" s="159"/>
      <c r="O59" s="159"/>
      <c r="P59" s="159"/>
      <c r="Q59" s="7"/>
    </row>
    <row r="60" spans="2:17" ht="15.5" x14ac:dyDescent="0.25">
      <c r="B60" s="5"/>
      <c r="C60" s="56"/>
      <c r="D60" s="56"/>
      <c r="E60" s="56"/>
      <c r="F60" s="56"/>
      <c r="G60" s="56"/>
      <c r="H60" s="56"/>
      <c r="I60" s="56"/>
      <c r="J60" s="56"/>
      <c r="K60" s="56"/>
      <c r="L60" s="56"/>
      <c r="M60" s="56"/>
      <c r="N60" s="56"/>
      <c r="O60" s="56"/>
      <c r="P60" s="56"/>
      <c r="Q60" s="7"/>
    </row>
    <row r="61" spans="2:17" ht="15.5" x14ac:dyDescent="0.25">
      <c r="B61" s="5"/>
      <c r="C61" s="427" t="s">
        <v>77</v>
      </c>
      <c r="D61" s="427"/>
      <c r="E61" s="427"/>
      <c r="F61" s="427"/>
      <c r="G61" s="427" t="s">
        <v>126</v>
      </c>
      <c r="H61" s="427"/>
      <c r="I61" s="427"/>
      <c r="J61" s="427"/>
      <c r="K61" s="427"/>
      <c r="L61" s="427"/>
      <c r="M61" s="427"/>
      <c r="N61" s="427"/>
      <c r="O61" s="427"/>
      <c r="P61" s="427"/>
      <c r="Q61" s="7"/>
    </row>
    <row r="62" spans="2:17" ht="47.5" customHeight="1" x14ac:dyDescent="0.25">
      <c r="B62" s="5"/>
      <c r="C62" s="429" t="s">
        <v>576</v>
      </c>
      <c r="D62" s="429"/>
      <c r="E62" s="429"/>
      <c r="F62" s="429"/>
      <c r="G62" s="430" t="s">
        <v>580</v>
      </c>
      <c r="H62" s="430"/>
      <c r="I62" s="430"/>
      <c r="J62" s="430"/>
      <c r="K62" s="430"/>
      <c r="L62" s="430"/>
      <c r="M62" s="430"/>
      <c r="N62" s="430"/>
      <c r="O62" s="430"/>
      <c r="P62" s="430"/>
      <c r="Q62" s="7"/>
    </row>
    <row r="63" spans="2:17" ht="33" customHeight="1" x14ac:dyDescent="0.25">
      <c r="B63" s="5"/>
      <c r="C63" s="451" t="s">
        <v>577</v>
      </c>
      <c r="D63" s="452"/>
      <c r="E63" s="452"/>
      <c r="F63" s="453"/>
      <c r="G63" s="465" t="s">
        <v>581</v>
      </c>
      <c r="H63" s="466"/>
      <c r="I63" s="466"/>
      <c r="J63" s="466"/>
      <c r="K63" s="466"/>
      <c r="L63" s="466"/>
      <c r="M63" s="466"/>
      <c r="N63" s="466"/>
      <c r="O63" s="466"/>
      <c r="P63" s="467"/>
      <c r="Q63" s="7"/>
    </row>
    <row r="64" spans="2:17" ht="29.5" customHeight="1" x14ac:dyDescent="0.25">
      <c r="B64" s="5"/>
      <c r="C64" s="451" t="s">
        <v>578</v>
      </c>
      <c r="D64" s="452"/>
      <c r="E64" s="452"/>
      <c r="F64" s="453"/>
      <c r="G64" s="465" t="s">
        <v>582</v>
      </c>
      <c r="H64" s="466"/>
      <c r="I64" s="466"/>
      <c r="J64" s="466"/>
      <c r="K64" s="466"/>
      <c r="L64" s="466"/>
      <c r="M64" s="466"/>
      <c r="N64" s="466"/>
      <c r="O64" s="466"/>
      <c r="P64" s="467"/>
      <c r="Q64" s="7"/>
    </row>
    <row r="65" spans="2:17" ht="81.5" customHeight="1" x14ac:dyDescent="0.25">
      <c r="B65" s="5"/>
      <c r="C65" s="451" t="s">
        <v>447</v>
      </c>
      <c r="D65" s="452"/>
      <c r="E65" s="452"/>
      <c r="F65" s="453"/>
      <c r="G65" s="465" t="s">
        <v>451</v>
      </c>
      <c r="H65" s="466"/>
      <c r="I65" s="466"/>
      <c r="J65" s="466"/>
      <c r="K65" s="466"/>
      <c r="L65" s="466"/>
      <c r="M65" s="466"/>
      <c r="N65" s="466"/>
      <c r="O65" s="466"/>
      <c r="P65" s="467"/>
      <c r="Q65" s="7"/>
    </row>
    <row r="66" spans="2:17" ht="26.5" customHeight="1" x14ac:dyDescent="0.25">
      <c r="B66" s="5"/>
      <c r="C66" s="451" t="s">
        <v>448</v>
      </c>
      <c r="D66" s="452"/>
      <c r="E66" s="452"/>
      <c r="F66" s="453"/>
      <c r="G66" s="465" t="s">
        <v>459</v>
      </c>
      <c r="H66" s="466"/>
      <c r="I66" s="466"/>
      <c r="J66" s="466"/>
      <c r="K66" s="466"/>
      <c r="L66" s="466"/>
      <c r="M66" s="466"/>
      <c r="N66" s="466"/>
      <c r="O66" s="466"/>
      <c r="P66" s="467"/>
      <c r="Q66" s="7"/>
    </row>
    <row r="67" spans="2:17" ht="28" customHeight="1" x14ac:dyDescent="0.25">
      <c r="B67" s="5"/>
      <c r="C67" s="448" t="s">
        <v>239</v>
      </c>
      <c r="D67" s="449"/>
      <c r="E67" s="449"/>
      <c r="F67" s="450"/>
      <c r="G67" s="426" t="s">
        <v>240</v>
      </c>
      <c r="H67" s="426"/>
      <c r="I67" s="426"/>
      <c r="J67" s="426"/>
      <c r="K67" s="426"/>
      <c r="L67" s="426"/>
      <c r="M67" s="426"/>
      <c r="N67" s="426"/>
      <c r="O67" s="426"/>
      <c r="P67" s="426"/>
      <c r="Q67" s="7"/>
    </row>
    <row r="68" spans="2:17" ht="15.75" customHeight="1" x14ac:dyDescent="0.25">
      <c r="B68" s="5"/>
      <c r="C68" s="429" t="s">
        <v>23</v>
      </c>
      <c r="D68" s="429"/>
      <c r="E68" s="429"/>
      <c r="F68" s="429"/>
      <c r="G68" s="429" t="s">
        <v>128</v>
      </c>
      <c r="H68" s="429"/>
      <c r="I68" s="429"/>
      <c r="J68" s="429"/>
      <c r="K68" s="429"/>
      <c r="L68" s="429"/>
      <c r="M68" s="429"/>
      <c r="N68" s="429"/>
      <c r="O68" s="429"/>
      <c r="P68" s="429"/>
      <c r="Q68" s="7"/>
    </row>
    <row r="69" spans="2:17" ht="28.5" customHeight="1" x14ac:dyDescent="0.25">
      <c r="B69" s="5"/>
      <c r="C69" s="451" t="s">
        <v>387</v>
      </c>
      <c r="D69" s="452"/>
      <c r="E69" s="452"/>
      <c r="F69" s="453"/>
      <c r="G69" s="430" t="s">
        <v>452</v>
      </c>
      <c r="H69" s="430"/>
      <c r="I69" s="430"/>
      <c r="J69" s="430"/>
      <c r="K69" s="430"/>
      <c r="L69" s="430"/>
      <c r="M69" s="430"/>
      <c r="N69" s="430"/>
      <c r="O69" s="430"/>
      <c r="P69" s="430"/>
      <c r="Q69" s="7"/>
    </row>
    <row r="70" spans="2:17" ht="28.5" customHeight="1" x14ac:dyDescent="0.25">
      <c r="B70" s="5"/>
      <c r="C70" s="429" t="s">
        <v>22</v>
      </c>
      <c r="D70" s="429"/>
      <c r="E70" s="429"/>
      <c r="F70" s="429"/>
      <c r="G70" s="430" t="s">
        <v>453</v>
      </c>
      <c r="H70" s="430"/>
      <c r="I70" s="430"/>
      <c r="J70" s="430"/>
      <c r="K70" s="430"/>
      <c r="L70" s="430"/>
      <c r="M70" s="430"/>
      <c r="N70" s="430"/>
      <c r="O70" s="430"/>
      <c r="P70" s="430"/>
      <c r="Q70" s="7"/>
    </row>
    <row r="71" spans="2:17" ht="16.5" customHeight="1" x14ac:dyDescent="0.25">
      <c r="B71" s="5"/>
      <c r="C71" s="429" t="s">
        <v>79</v>
      </c>
      <c r="D71" s="429"/>
      <c r="E71" s="429"/>
      <c r="F71" s="429"/>
      <c r="G71" s="429" t="s">
        <v>129</v>
      </c>
      <c r="H71" s="429"/>
      <c r="I71" s="429"/>
      <c r="J71" s="429"/>
      <c r="K71" s="429"/>
      <c r="L71" s="429"/>
      <c r="M71" s="429"/>
      <c r="N71" s="429"/>
      <c r="O71" s="429"/>
      <c r="P71" s="429"/>
      <c r="Q71" s="7"/>
    </row>
    <row r="72" spans="2:17" ht="32.5" customHeight="1" x14ac:dyDescent="0.25">
      <c r="B72" s="5"/>
      <c r="C72" s="451" t="s">
        <v>449</v>
      </c>
      <c r="D72" s="452"/>
      <c r="E72" s="452"/>
      <c r="F72" s="453"/>
      <c r="G72" s="430" t="s">
        <v>450</v>
      </c>
      <c r="H72" s="430"/>
      <c r="I72" s="430"/>
      <c r="J72" s="430"/>
      <c r="K72" s="430"/>
      <c r="L72" s="430"/>
      <c r="M72" s="430"/>
      <c r="N72" s="430"/>
      <c r="O72" s="430"/>
      <c r="P72" s="430"/>
      <c r="Q72" s="7"/>
    </row>
    <row r="73" spans="2:17" ht="39.65" customHeight="1" x14ac:dyDescent="0.25">
      <c r="B73" s="5"/>
      <c r="C73" s="429" t="s">
        <v>251</v>
      </c>
      <c r="D73" s="429"/>
      <c r="E73" s="429"/>
      <c r="F73" s="429"/>
      <c r="G73" s="430" t="s">
        <v>242</v>
      </c>
      <c r="H73" s="430"/>
      <c r="I73" s="430"/>
      <c r="J73" s="430"/>
      <c r="K73" s="430"/>
      <c r="L73" s="430"/>
      <c r="M73" s="430"/>
      <c r="N73" s="430"/>
      <c r="O73" s="430"/>
      <c r="P73" s="430"/>
      <c r="Q73" s="7"/>
    </row>
    <row r="74" spans="2:17" ht="41.5" customHeight="1" x14ac:dyDescent="0.25">
      <c r="B74" s="5"/>
      <c r="C74" s="429" t="s">
        <v>395</v>
      </c>
      <c r="D74" s="429"/>
      <c r="E74" s="429"/>
      <c r="F74" s="429"/>
      <c r="G74" s="430" t="s">
        <v>454</v>
      </c>
      <c r="H74" s="430"/>
      <c r="I74" s="430"/>
      <c r="J74" s="430"/>
      <c r="K74" s="430"/>
      <c r="L74" s="430"/>
      <c r="M74" s="430"/>
      <c r="N74" s="430"/>
      <c r="O74" s="430"/>
      <c r="P74" s="430"/>
      <c r="Q74" s="7"/>
    </row>
    <row r="75" spans="2:17" ht="17.149999999999999" customHeight="1" x14ac:dyDescent="0.25">
      <c r="B75" s="5"/>
      <c r="C75" s="429" t="s">
        <v>127</v>
      </c>
      <c r="D75" s="429"/>
      <c r="E75" s="429"/>
      <c r="F75" s="429"/>
      <c r="G75" s="429" t="s">
        <v>130</v>
      </c>
      <c r="H75" s="429"/>
      <c r="I75" s="429"/>
      <c r="J75" s="429"/>
      <c r="K75" s="429"/>
      <c r="L75" s="429"/>
      <c r="M75" s="429"/>
      <c r="N75" s="429"/>
      <c r="O75" s="429"/>
      <c r="P75" s="429"/>
      <c r="Q75" s="7"/>
    </row>
    <row r="76" spans="2:17" ht="20" customHeight="1" x14ac:dyDescent="0.25">
      <c r="B76" s="5"/>
      <c r="C76" s="429" t="s">
        <v>93</v>
      </c>
      <c r="D76" s="429"/>
      <c r="E76" s="429"/>
      <c r="F76" s="429"/>
      <c r="G76" s="430" t="s">
        <v>455</v>
      </c>
      <c r="H76" s="429"/>
      <c r="I76" s="429"/>
      <c r="J76" s="429"/>
      <c r="K76" s="429"/>
      <c r="L76" s="429"/>
      <c r="M76" s="429"/>
      <c r="N76" s="429"/>
      <c r="O76" s="429"/>
      <c r="P76" s="429"/>
      <c r="Q76" s="7"/>
    </row>
    <row r="77" spans="2:17" ht="28.5" customHeight="1" x14ac:dyDescent="0.25">
      <c r="B77" s="5"/>
      <c r="C77" s="451" t="s">
        <v>401</v>
      </c>
      <c r="D77" s="452"/>
      <c r="E77" s="452"/>
      <c r="F77" s="453"/>
      <c r="G77" s="430" t="s">
        <v>456</v>
      </c>
      <c r="H77" s="430"/>
      <c r="I77" s="430"/>
      <c r="J77" s="430"/>
      <c r="K77" s="430"/>
      <c r="L77" s="430"/>
      <c r="M77" s="430"/>
      <c r="N77" s="430"/>
      <c r="O77" s="430"/>
      <c r="P77" s="430"/>
      <c r="Q77" s="7"/>
    </row>
    <row r="78" spans="2:17" ht="28.5" customHeight="1" x14ac:dyDescent="0.25">
      <c r="B78" s="5"/>
      <c r="C78" s="448" t="s">
        <v>34</v>
      </c>
      <c r="D78" s="449"/>
      <c r="E78" s="449"/>
      <c r="F78" s="450"/>
      <c r="G78" s="426" t="s">
        <v>244</v>
      </c>
      <c r="H78" s="426"/>
      <c r="I78" s="426"/>
      <c r="J78" s="426"/>
      <c r="K78" s="426"/>
      <c r="L78" s="426"/>
      <c r="M78" s="426"/>
      <c r="N78" s="426"/>
      <c r="O78" s="426"/>
      <c r="P78" s="426"/>
      <c r="Q78" s="7"/>
    </row>
    <row r="79" spans="2:17" ht="28.5" customHeight="1" x14ac:dyDescent="0.25">
      <c r="B79" s="5"/>
      <c r="C79" s="448" t="s">
        <v>234</v>
      </c>
      <c r="D79" s="449"/>
      <c r="E79" s="449"/>
      <c r="F79" s="450"/>
      <c r="G79" s="426" t="s">
        <v>457</v>
      </c>
      <c r="H79" s="426"/>
      <c r="I79" s="426"/>
      <c r="J79" s="426"/>
      <c r="K79" s="426"/>
      <c r="L79" s="426"/>
      <c r="M79" s="426"/>
      <c r="N79" s="426"/>
      <c r="O79" s="426"/>
      <c r="P79" s="426"/>
      <c r="Q79" s="7"/>
    </row>
    <row r="80" spans="2:17" ht="16.5" customHeight="1" x14ac:dyDescent="0.25">
      <c r="B80" s="5"/>
      <c r="C80" s="448" t="s">
        <v>400</v>
      </c>
      <c r="D80" s="449"/>
      <c r="E80" s="449"/>
      <c r="F80" s="450"/>
      <c r="G80" s="431" t="s">
        <v>458</v>
      </c>
      <c r="H80" s="432"/>
      <c r="I80" s="432"/>
      <c r="J80" s="432"/>
      <c r="K80" s="432"/>
      <c r="L80" s="432"/>
      <c r="M80" s="432"/>
      <c r="N80" s="432"/>
      <c r="O80" s="432"/>
      <c r="P80" s="433"/>
      <c r="Q80" s="7"/>
    </row>
    <row r="81" spans="2:17" ht="15" customHeight="1" x14ac:dyDescent="0.25">
      <c r="B81" s="5"/>
      <c r="C81" s="448" t="s">
        <v>75</v>
      </c>
      <c r="D81" s="449"/>
      <c r="E81" s="449"/>
      <c r="F81" s="450"/>
      <c r="G81" s="426" t="s">
        <v>243</v>
      </c>
      <c r="H81" s="426"/>
      <c r="I81" s="426"/>
      <c r="J81" s="426"/>
      <c r="K81" s="426"/>
      <c r="L81" s="426"/>
      <c r="M81" s="426"/>
      <c r="N81" s="426"/>
      <c r="O81" s="426"/>
      <c r="P81" s="426"/>
      <c r="Q81" s="7"/>
    </row>
    <row r="82" spans="2:17" ht="14.15" customHeight="1" x14ac:dyDescent="0.25">
      <c r="B82" s="5"/>
      <c r="C82" s="460" t="s">
        <v>76</v>
      </c>
      <c r="D82" s="460"/>
      <c r="E82" s="460"/>
      <c r="F82" s="460"/>
      <c r="G82" s="426" t="s">
        <v>241</v>
      </c>
      <c r="H82" s="426"/>
      <c r="I82" s="426"/>
      <c r="J82" s="426"/>
      <c r="K82" s="426"/>
      <c r="L82" s="426"/>
      <c r="M82" s="426"/>
      <c r="N82" s="426"/>
      <c r="O82" s="426"/>
      <c r="P82" s="426"/>
      <c r="Q82" s="7"/>
    </row>
    <row r="83" spans="2:17" ht="15.5" x14ac:dyDescent="0.25">
      <c r="B83" s="5"/>
      <c r="C83" s="56"/>
      <c r="D83" s="56"/>
      <c r="E83" s="56"/>
      <c r="F83" s="56"/>
      <c r="G83" s="56"/>
      <c r="H83" s="56"/>
      <c r="I83" s="56"/>
      <c r="J83" s="56"/>
      <c r="K83" s="56"/>
      <c r="L83" s="56"/>
      <c r="M83" s="56"/>
      <c r="N83" s="56"/>
      <c r="O83" s="56"/>
      <c r="P83" s="56"/>
      <c r="Q83" s="7"/>
    </row>
    <row r="84" spans="2:17" ht="15.5" x14ac:dyDescent="0.25">
      <c r="B84" s="5"/>
      <c r="C84" s="457" t="s">
        <v>533</v>
      </c>
      <c r="D84" s="457"/>
      <c r="E84" s="457"/>
      <c r="F84" s="457"/>
      <c r="G84" s="56"/>
      <c r="H84" s="56"/>
      <c r="I84" s="56"/>
      <c r="J84" s="56"/>
      <c r="K84" s="56"/>
      <c r="L84" s="56"/>
      <c r="M84" s="56"/>
      <c r="N84" s="56"/>
      <c r="O84" s="56"/>
      <c r="P84" s="56"/>
      <c r="Q84" s="7"/>
    </row>
    <row r="85" spans="2:17" ht="18.649999999999999" customHeight="1" x14ac:dyDescent="0.25">
      <c r="B85" s="5"/>
      <c r="C85" s="447" t="s">
        <v>583</v>
      </c>
      <c r="D85" s="447"/>
      <c r="E85" s="447"/>
      <c r="F85" s="447"/>
      <c r="G85" s="447"/>
      <c r="H85" s="447"/>
      <c r="I85" s="447"/>
      <c r="J85" s="447"/>
      <c r="K85" s="56"/>
      <c r="L85" s="56"/>
      <c r="M85" s="56"/>
      <c r="N85" s="56"/>
      <c r="O85" s="56"/>
      <c r="P85" s="56"/>
      <c r="Q85" s="7"/>
    </row>
    <row r="86" spans="2:17" ht="12.65" customHeight="1" x14ac:dyDescent="0.25">
      <c r="B86" s="5"/>
      <c r="C86" s="425" t="s">
        <v>531</v>
      </c>
      <c r="D86" s="425"/>
      <c r="E86" s="425"/>
      <c r="F86" s="425"/>
      <c r="G86" s="425"/>
      <c r="H86" s="425"/>
      <c r="I86" s="425"/>
      <c r="J86" s="425"/>
      <c r="K86" s="425"/>
      <c r="L86" s="425"/>
      <c r="M86" s="425"/>
      <c r="N86" s="425"/>
      <c r="O86" s="425"/>
      <c r="P86" s="425"/>
      <c r="Q86" s="7"/>
    </row>
    <row r="87" spans="2:17" ht="14.15" customHeight="1" x14ac:dyDescent="0.25">
      <c r="B87" s="5"/>
      <c r="C87" s="425"/>
      <c r="D87" s="425"/>
      <c r="E87" s="425"/>
      <c r="F87" s="425"/>
      <c r="G87" s="425"/>
      <c r="H87" s="425"/>
      <c r="I87" s="425"/>
      <c r="J87" s="425"/>
      <c r="K87" s="425"/>
      <c r="L87" s="425"/>
      <c r="M87" s="425"/>
      <c r="N87" s="425"/>
      <c r="O87" s="425"/>
      <c r="P87" s="425"/>
      <c r="Q87" s="7"/>
    </row>
    <row r="88" spans="2:17" ht="31" customHeight="1" x14ac:dyDescent="0.25">
      <c r="B88" s="5"/>
      <c r="C88" s="425"/>
      <c r="D88" s="425"/>
      <c r="E88" s="425"/>
      <c r="F88" s="425"/>
      <c r="G88" s="425"/>
      <c r="H88" s="425"/>
      <c r="I88" s="425"/>
      <c r="J88" s="425"/>
      <c r="K88" s="425"/>
      <c r="L88" s="425"/>
      <c r="M88" s="425"/>
      <c r="N88" s="425"/>
      <c r="O88" s="425"/>
      <c r="P88" s="425"/>
      <c r="Q88" s="7"/>
    </row>
    <row r="89" spans="2:17" ht="6" customHeight="1" x14ac:dyDescent="0.25">
      <c r="B89" s="5"/>
      <c r="C89" s="160"/>
      <c r="D89" s="160"/>
      <c r="E89" s="160"/>
      <c r="F89" s="160"/>
      <c r="G89" s="160"/>
      <c r="H89" s="160"/>
      <c r="I89" s="160"/>
      <c r="J89" s="160"/>
      <c r="K89" s="160"/>
      <c r="L89" s="160"/>
      <c r="M89" s="160"/>
      <c r="N89" s="160"/>
      <c r="O89" s="160"/>
      <c r="P89" s="160"/>
      <c r="Q89" s="7"/>
    </row>
    <row r="90" spans="2:17" ht="60.5" customHeight="1" x14ac:dyDescent="0.25">
      <c r="B90" s="5"/>
      <c r="C90" s="461" t="s">
        <v>532</v>
      </c>
      <c r="D90" s="461"/>
      <c r="E90" s="461"/>
      <c r="F90" s="461"/>
      <c r="G90" s="214" t="s">
        <v>490</v>
      </c>
      <c r="H90" s="214" t="s">
        <v>491</v>
      </c>
      <c r="I90" s="214" t="s">
        <v>545</v>
      </c>
      <c r="J90" s="214" t="s">
        <v>546</v>
      </c>
      <c r="K90" s="160"/>
      <c r="L90" s="160"/>
      <c r="M90" s="160"/>
      <c r="N90" s="160"/>
      <c r="O90" s="160"/>
      <c r="P90" s="160"/>
      <c r="Q90" s="7"/>
    </row>
    <row r="91" spans="2:17" ht="29" customHeight="1" x14ac:dyDescent="0.25">
      <c r="B91" s="5"/>
      <c r="C91" s="419" t="s">
        <v>272</v>
      </c>
      <c r="D91" s="420" t="s">
        <v>272</v>
      </c>
      <c r="E91" s="420" t="s">
        <v>272</v>
      </c>
      <c r="F91" s="421" t="s">
        <v>272</v>
      </c>
      <c r="G91" s="215">
        <v>2</v>
      </c>
      <c r="H91" s="215">
        <v>2</v>
      </c>
      <c r="I91" s="215">
        <v>0.25</v>
      </c>
      <c r="J91" s="215">
        <v>10</v>
      </c>
      <c r="K91" s="160"/>
      <c r="L91" s="160"/>
      <c r="M91" s="160"/>
      <c r="N91" s="160"/>
      <c r="O91" s="160"/>
      <c r="P91" s="160"/>
      <c r="Q91" s="7"/>
    </row>
    <row r="92" spans="2:17" ht="20.149999999999999" customHeight="1" x14ac:dyDescent="0.25">
      <c r="B92" s="5"/>
      <c r="C92" s="422" t="s">
        <v>273</v>
      </c>
      <c r="D92" s="423" t="s">
        <v>273</v>
      </c>
      <c r="E92" s="423" t="s">
        <v>273</v>
      </c>
      <c r="F92" s="424" t="s">
        <v>273</v>
      </c>
      <c r="G92" s="216">
        <v>6</v>
      </c>
      <c r="H92" s="216">
        <v>6</v>
      </c>
      <c r="I92" s="215">
        <v>0.25</v>
      </c>
      <c r="J92" s="215">
        <v>10</v>
      </c>
      <c r="K92" s="160"/>
      <c r="L92" s="160"/>
      <c r="M92" s="160"/>
      <c r="N92" s="160"/>
      <c r="O92" s="160"/>
      <c r="P92" s="160"/>
      <c r="Q92" s="7"/>
    </row>
    <row r="93" spans="2:17" ht="16" customHeight="1" x14ac:dyDescent="0.25">
      <c r="B93" s="5"/>
      <c r="C93" s="422" t="s">
        <v>274</v>
      </c>
      <c r="D93" s="423" t="s">
        <v>274</v>
      </c>
      <c r="E93" s="423" t="s">
        <v>274</v>
      </c>
      <c r="F93" s="424" t="s">
        <v>274</v>
      </c>
      <c r="G93" s="216">
        <v>6</v>
      </c>
      <c r="H93" s="216">
        <v>6</v>
      </c>
      <c r="I93" s="215">
        <v>0.25</v>
      </c>
      <c r="J93" s="215">
        <v>10</v>
      </c>
      <c r="K93" s="160"/>
      <c r="L93" s="160"/>
      <c r="M93" s="160"/>
      <c r="N93" s="160"/>
      <c r="O93" s="160"/>
      <c r="P93" s="160"/>
      <c r="Q93" s="7"/>
    </row>
    <row r="94" spans="2:17" ht="19" customHeight="1" x14ac:dyDescent="0.25">
      <c r="B94" s="5"/>
      <c r="C94" s="419" t="s">
        <v>275</v>
      </c>
      <c r="D94" s="420" t="s">
        <v>275</v>
      </c>
      <c r="E94" s="420" t="s">
        <v>275</v>
      </c>
      <c r="F94" s="421" t="s">
        <v>275</v>
      </c>
      <c r="G94" s="215">
        <v>1</v>
      </c>
      <c r="H94" s="215">
        <v>0.6</v>
      </c>
      <c r="I94" s="215">
        <v>0.25</v>
      </c>
      <c r="J94" s="215">
        <v>10</v>
      </c>
      <c r="K94" s="160"/>
      <c r="L94" s="160"/>
      <c r="M94" s="160"/>
      <c r="N94" s="160"/>
      <c r="O94" s="160"/>
      <c r="P94" s="160"/>
      <c r="Q94" s="7"/>
    </row>
    <row r="95" spans="2:17" ht="12.65" customHeight="1" x14ac:dyDescent="0.25">
      <c r="B95" s="5"/>
      <c r="C95" s="422" t="s">
        <v>276</v>
      </c>
      <c r="D95" s="423" t="s">
        <v>276</v>
      </c>
      <c r="E95" s="423" t="s">
        <v>276</v>
      </c>
      <c r="F95" s="424" t="s">
        <v>276</v>
      </c>
      <c r="G95" s="216">
        <v>6</v>
      </c>
      <c r="H95" s="216">
        <v>6</v>
      </c>
      <c r="I95" s="215">
        <v>0.25</v>
      </c>
      <c r="J95" s="215">
        <v>10</v>
      </c>
      <c r="K95" s="160"/>
      <c r="L95" s="160"/>
      <c r="M95" s="160"/>
      <c r="N95" s="160"/>
      <c r="O95" s="160"/>
      <c r="P95" s="160"/>
      <c r="Q95" s="7"/>
    </row>
    <row r="96" spans="2:17" ht="30" customHeight="1" x14ac:dyDescent="0.25">
      <c r="B96" s="5"/>
      <c r="C96" s="422" t="s">
        <v>277</v>
      </c>
      <c r="D96" s="423" t="s">
        <v>277</v>
      </c>
      <c r="E96" s="423" t="s">
        <v>277</v>
      </c>
      <c r="F96" s="424" t="s">
        <v>277</v>
      </c>
      <c r="G96" s="216">
        <v>6</v>
      </c>
      <c r="H96" s="216">
        <v>6</v>
      </c>
      <c r="I96" s="215">
        <v>0.25</v>
      </c>
      <c r="J96" s="215">
        <v>10</v>
      </c>
      <c r="K96" s="160"/>
      <c r="L96" s="160"/>
      <c r="M96" s="160"/>
      <c r="N96" s="160"/>
      <c r="O96" s="160"/>
      <c r="P96" s="160"/>
      <c r="Q96" s="7"/>
    </row>
    <row r="97" spans="2:17" ht="20.5" customHeight="1" x14ac:dyDescent="0.25">
      <c r="B97" s="5"/>
      <c r="C97" s="422" t="s">
        <v>278</v>
      </c>
      <c r="D97" s="423" t="s">
        <v>278</v>
      </c>
      <c r="E97" s="423" t="s">
        <v>278</v>
      </c>
      <c r="F97" s="424" t="s">
        <v>278</v>
      </c>
      <c r="G97" s="216">
        <v>6</v>
      </c>
      <c r="H97" s="216">
        <v>6</v>
      </c>
      <c r="I97" s="215">
        <v>0.25</v>
      </c>
      <c r="J97" s="215">
        <v>10</v>
      </c>
      <c r="K97" s="160"/>
      <c r="L97" s="160"/>
      <c r="M97" s="160"/>
      <c r="N97" s="160"/>
      <c r="O97" s="160"/>
      <c r="P97" s="160"/>
      <c r="Q97" s="7"/>
    </row>
    <row r="98" spans="2:17" ht="20.149999999999999" customHeight="1" x14ac:dyDescent="0.25">
      <c r="B98" s="5"/>
      <c r="C98" s="419" t="s">
        <v>279</v>
      </c>
      <c r="D98" s="420" t="s">
        <v>279</v>
      </c>
      <c r="E98" s="420" t="s">
        <v>279</v>
      </c>
      <c r="F98" s="421" t="s">
        <v>279</v>
      </c>
      <c r="G98" s="215">
        <v>1</v>
      </c>
      <c r="H98" s="215">
        <v>1</v>
      </c>
      <c r="I98" s="215">
        <v>0.25</v>
      </c>
      <c r="J98" s="215">
        <v>10</v>
      </c>
      <c r="K98" s="160"/>
      <c r="L98" s="160"/>
      <c r="M98" s="160"/>
      <c r="N98" s="160"/>
      <c r="O98" s="160"/>
      <c r="P98" s="160"/>
      <c r="Q98" s="7"/>
    </row>
    <row r="99" spans="2:17" ht="22" customHeight="1" x14ac:dyDescent="0.25">
      <c r="B99" s="5"/>
      <c r="C99" s="422" t="s">
        <v>280</v>
      </c>
      <c r="D99" s="423" t="s">
        <v>280</v>
      </c>
      <c r="E99" s="423" t="s">
        <v>280</v>
      </c>
      <c r="F99" s="424" t="s">
        <v>280</v>
      </c>
      <c r="G99" s="216">
        <v>6</v>
      </c>
      <c r="H99" s="216">
        <v>6</v>
      </c>
      <c r="I99" s="215">
        <v>0.25</v>
      </c>
      <c r="J99" s="215">
        <v>10</v>
      </c>
      <c r="K99" s="160"/>
      <c r="L99" s="160"/>
      <c r="M99" s="160"/>
      <c r="N99" s="160"/>
      <c r="O99" s="160"/>
      <c r="P99" s="160"/>
      <c r="Q99" s="7"/>
    </row>
    <row r="100" spans="2:17" ht="34" customHeight="1" x14ac:dyDescent="0.25">
      <c r="B100" s="5"/>
      <c r="C100" s="422" t="s">
        <v>281</v>
      </c>
      <c r="D100" s="423" t="s">
        <v>281</v>
      </c>
      <c r="E100" s="423" t="s">
        <v>281</v>
      </c>
      <c r="F100" s="424" t="s">
        <v>281</v>
      </c>
      <c r="G100" s="216">
        <v>6</v>
      </c>
      <c r="H100" s="216">
        <v>6</v>
      </c>
      <c r="I100" s="215">
        <v>0.25</v>
      </c>
      <c r="J100" s="215">
        <v>10</v>
      </c>
      <c r="K100" s="160"/>
      <c r="L100" s="160"/>
      <c r="M100" s="160"/>
      <c r="N100" s="160"/>
      <c r="O100" s="160"/>
      <c r="P100" s="160"/>
      <c r="Q100" s="7"/>
    </row>
    <row r="101" spans="2:17" ht="14.5" customHeight="1" x14ac:dyDescent="0.25">
      <c r="B101" s="5"/>
      <c r="C101" s="422" t="s">
        <v>282</v>
      </c>
      <c r="D101" s="423" t="s">
        <v>282</v>
      </c>
      <c r="E101" s="423" t="s">
        <v>282</v>
      </c>
      <c r="F101" s="424" t="s">
        <v>282</v>
      </c>
      <c r="G101" s="216">
        <v>6</v>
      </c>
      <c r="H101" s="216">
        <v>6</v>
      </c>
      <c r="I101" s="215">
        <v>0.25</v>
      </c>
      <c r="J101" s="215">
        <v>10</v>
      </c>
      <c r="K101" s="160"/>
      <c r="L101" s="160"/>
      <c r="M101" s="160"/>
      <c r="N101" s="160"/>
      <c r="O101" s="160"/>
      <c r="P101" s="160"/>
      <c r="Q101" s="7"/>
    </row>
    <row r="102" spans="2:17" ht="17.5" customHeight="1" x14ac:dyDescent="0.25">
      <c r="B102" s="5"/>
      <c r="C102" s="419" t="s">
        <v>283</v>
      </c>
      <c r="D102" s="420" t="s">
        <v>283</v>
      </c>
      <c r="E102" s="420" t="s">
        <v>283</v>
      </c>
      <c r="F102" s="421" t="s">
        <v>283</v>
      </c>
      <c r="G102" s="215">
        <v>1</v>
      </c>
      <c r="H102" s="215">
        <v>1</v>
      </c>
      <c r="I102" s="215">
        <v>0.25</v>
      </c>
      <c r="J102" s="215">
        <v>10</v>
      </c>
      <c r="K102" s="160"/>
      <c r="L102" s="160"/>
      <c r="M102" s="160"/>
      <c r="N102" s="160"/>
      <c r="O102" s="160"/>
      <c r="P102" s="160"/>
      <c r="Q102" s="7"/>
    </row>
    <row r="103" spans="2:17" ht="18.649999999999999" customHeight="1" x14ac:dyDescent="0.25">
      <c r="B103" s="5"/>
      <c r="C103" s="422" t="s">
        <v>284</v>
      </c>
      <c r="D103" s="423" t="s">
        <v>284</v>
      </c>
      <c r="E103" s="423" t="s">
        <v>284</v>
      </c>
      <c r="F103" s="424" t="s">
        <v>284</v>
      </c>
      <c r="G103" s="216">
        <v>6</v>
      </c>
      <c r="H103" s="216">
        <v>6</v>
      </c>
      <c r="I103" s="215">
        <v>0.25</v>
      </c>
      <c r="J103" s="215">
        <v>10</v>
      </c>
      <c r="K103" s="160"/>
      <c r="L103" s="160"/>
      <c r="M103" s="160"/>
      <c r="N103" s="160"/>
      <c r="O103" s="160"/>
      <c r="P103" s="160"/>
      <c r="Q103" s="7"/>
    </row>
    <row r="104" spans="2:17" ht="16" customHeight="1" x14ac:dyDescent="0.25">
      <c r="B104" s="5"/>
      <c r="C104" s="419" t="s">
        <v>285</v>
      </c>
      <c r="D104" s="420" t="s">
        <v>285</v>
      </c>
      <c r="E104" s="420" t="s">
        <v>285</v>
      </c>
      <c r="F104" s="421" t="s">
        <v>285</v>
      </c>
      <c r="G104" s="215">
        <v>2.5</v>
      </c>
      <c r="H104" s="215">
        <v>2.5</v>
      </c>
      <c r="I104" s="215">
        <v>0.25</v>
      </c>
      <c r="J104" s="215">
        <v>10</v>
      </c>
      <c r="K104" s="160"/>
      <c r="L104" s="160"/>
      <c r="M104" s="160"/>
      <c r="N104" s="160"/>
      <c r="O104" s="160"/>
      <c r="P104" s="160"/>
      <c r="Q104" s="7"/>
    </row>
    <row r="105" spans="2:17" ht="17.149999999999999" customHeight="1" x14ac:dyDescent="0.25">
      <c r="B105" s="5"/>
      <c r="C105" s="422" t="s">
        <v>286</v>
      </c>
      <c r="D105" s="423" t="s">
        <v>286</v>
      </c>
      <c r="E105" s="423" t="s">
        <v>286</v>
      </c>
      <c r="F105" s="424" t="s">
        <v>286</v>
      </c>
      <c r="G105" s="216">
        <v>6</v>
      </c>
      <c r="H105" s="216">
        <v>6</v>
      </c>
      <c r="I105" s="215">
        <v>0.25</v>
      </c>
      <c r="J105" s="215">
        <v>10</v>
      </c>
      <c r="K105" s="160"/>
      <c r="L105" s="160"/>
      <c r="M105" s="160"/>
      <c r="N105" s="160"/>
      <c r="O105" s="160"/>
      <c r="P105" s="160"/>
      <c r="Q105" s="7"/>
    </row>
    <row r="106" spans="2:17" ht="18.649999999999999" customHeight="1" x14ac:dyDescent="0.25">
      <c r="B106" s="5"/>
      <c r="C106" s="422" t="s">
        <v>287</v>
      </c>
      <c r="D106" s="423" t="s">
        <v>287</v>
      </c>
      <c r="E106" s="423" t="s">
        <v>287</v>
      </c>
      <c r="F106" s="424" t="s">
        <v>287</v>
      </c>
      <c r="G106" s="216">
        <v>6</v>
      </c>
      <c r="H106" s="216">
        <v>6</v>
      </c>
      <c r="I106" s="215">
        <v>0.25</v>
      </c>
      <c r="J106" s="215">
        <v>10</v>
      </c>
      <c r="K106" s="160"/>
      <c r="L106" s="160"/>
      <c r="M106" s="160"/>
      <c r="N106" s="160"/>
      <c r="O106" s="160"/>
      <c r="P106" s="160"/>
      <c r="Q106" s="7"/>
    </row>
    <row r="107" spans="2:17" ht="17.5" customHeight="1" x14ac:dyDescent="0.25">
      <c r="B107" s="5"/>
      <c r="C107" s="419" t="s">
        <v>288</v>
      </c>
      <c r="D107" s="420" t="s">
        <v>288</v>
      </c>
      <c r="E107" s="420" t="s">
        <v>288</v>
      </c>
      <c r="F107" s="421" t="s">
        <v>288</v>
      </c>
      <c r="G107" s="215">
        <v>1</v>
      </c>
      <c r="H107" s="215">
        <v>1</v>
      </c>
      <c r="I107" s="215">
        <v>0.25</v>
      </c>
      <c r="J107" s="215">
        <v>10</v>
      </c>
      <c r="K107" s="160"/>
      <c r="L107" s="160"/>
      <c r="M107" s="160"/>
      <c r="N107" s="160"/>
      <c r="O107" s="160"/>
      <c r="P107" s="160"/>
      <c r="Q107" s="7"/>
    </row>
    <row r="108" spans="2:17" ht="23.15" customHeight="1" x14ac:dyDescent="0.25">
      <c r="B108" s="5"/>
      <c r="C108" s="422" t="s">
        <v>289</v>
      </c>
      <c r="D108" s="423" t="s">
        <v>289</v>
      </c>
      <c r="E108" s="423" t="s">
        <v>289</v>
      </c>
      <c r="F108" s="424" t="s">
        <v>289</v>
      </c>
      <c r="G108" s="216">
        <v>6</v>
      </c>
      <c r="H108" s="216">
        <v>6</v>
      </c>
      <c r="I108" s="215">
        <v>0.25</v>
      </c>
      <c r="J108" s="215">
        <v>10</v>
      </c>
      <c r="K108" s="160"/>
      <c r="L108" s="160"/>
      <c r="M108" s="160"/>
      <c r="N108" s="160"/>
      <c r="O108" s="160"/>
      <c r="P108" s="160"/>
      <c r="Q108" s="7"/>
    </row>
    <row r="109" spans="2:17" ht="16" customHeight="1" x14ac:dyDescent="0.25">
      <c r="B109" s="5"/>
      <c r="C109" s="422" t="s">
        <v>290</v>
      </c>
      <c r="D109" s="423" t="s">
        <v>290</v>
      </c>
      <c r="E109" s="423" t="s">
        <v>290</v>
      </c>
      <c r="F109" s="424" t="s">
        <v>290</v>
      </c>
      <c r="G109" s="216">
        <v>6</v>
      </c>
      <c r="H109" s="216">
        <v>6</v>
      </c>
      <c r="I109" s="215">
        <v>0.25</v>
      </c>
      <c r="J109" s="215">
        <v>10</v>
      </c>
      <c r="K109" s="160"/>
      <c r="L109" s="160"/>
      <c r="M109" s="160"/>
      <c r="N109" s="160"/>
      <c r="O109" s="160"/>
      <c r="P109" s="160"/>
      <c r="Q109" s="7"/>
    </row>
    <row r="110" spans="2:17" ht="15.65" customHeight="1" x14ac:dyDescent="0.25">
      <c r="B110" s="5"/>
      <c r="C110" s="422" t="s">
        <v>291</v>
      </c>
      <c r="D110" s="423" t="s">
        <v>291</v>
      </c>
      <c r="E110" s="423" t="s">
        <v>291</v>
      </c>
      <c r="F110" s="424" t="s">
        <v>291</v>
      </c>
      <c r="G110" s="216">
        <v>6</v>
      </c>
      <c r="H110" s="216">
        <v>6</v>
      </c>
      <c r="I110" s="215">
        <v>0.25</v>
      </c>
      <c r="J110" s="215">
        <v>10</v>
      </c>
      <c r="K110" s="160"/>
      <c r="L110" s="160"/>
      <c r="M110" s="160"/>
      <c r="N110" s="160"/>
      <c r="O110" s="160"/>
      <c r="P110" s="160"/>
      <c r="Q110" s="7"/>
    </row>
    <row r="111" spans="2:17" ht="14.5" customHeight="1" x14ac:dyDescent="0.25">
      <c r="B111" s="5"/>
      <c r="C111" s="419" t="s">
        <v>292</v>
      </c>
      <c r="D111" s="420" t="s">
        <v>292</v>
      </c>
      <c r="E111" s="420" t="s">
        <v>292</v>
      </c>
      <c r="F111" s="421" t="s">
        <v>292</v>
      </c>
      <c r="G111" s="215">
        <v>1</v>
      </c>
      <c r="H111" s="215">
        <v>1</v>
      </c>
      <c r="I111" s="215">
        <v>0.25</v>
      </c>
      <c r="J111" s="215">
        <v>10</v>
      </c>
      <c r="K111" s="160"/>
      <c r="L111" s="160"/>
      <c r="M111" s="160"/>
      <c r="N111" s="160"/>
      <c r="O111" s="160"/>
      <c r="P111" s="160"/>
      <c r="Q111" s="7"/>
    </row>
    <row r="112" spans="2:17" ht="18.649999999999999" customHeight="1" x14ac:dyDescent="0.25">
      <c r="B112" s="5"/>
      <c r="C112" s="422" t="s">
        <v>293</v>
      </c>
      <c r="D112" s="423" t="s">
        <v>293</v>
      </c>
      <c r="E112" s="423" t="s">
        <v>293</v>
      </c>
      <c r="F112" s="424" t="s">
        <v>293</v>
      </c>
      <c r="G112" s="216">
        <v>6</v>
      </c>
      <c r="H112" s="216">
        <v>6</v>
      </c>
      <c r="I112" s="215">
        <v>0.25</v>
      </c>
      <c r="J112" s="215">
        <v>10</v>
      </c>
      <c r="K112" s="160"/>
      <c r="L112" s="160"/>
      <c r="M112" s="160"/>
      <c r="N112" s="160"/>
      <c r="O112" s="160"/>
      <c r="P112" s="160"/>
      <c r="Q112" s="7"/>
    </row>
    <row r="113" spans="2:17" ht="27" customHeight="1" x14ac:dyDescent="0.25">
      <c r="B113" s="5"/>
      <c r="C113" s="422" t="s">
        <v>294</v>
      </c>
      <c r="D113" s="423" t="s">
        <v>294</v>
      </c>
      <c r="E113" s="423" t="s">
        <v>294</v>
      </c>
      <c r="F113" s="424" t="s">
        <v>294</v>
      </c>
      <c r="G113" s="216">
        <v>6</v>
      </c>
      <c r="H113" s="216">
        <v>6</v>
      </c>
      <c r="I113" s="215">
        <v>0.25</v>
      </c>
      <c r="J113" s="215">
        <v>10</v>
      </c>
      <c r="K113" s="160"/>
      <c r="L113" s="160"/>
      <c r="M113" s="160"/>
      <c r="N113" s="160"/>
      <c r="O113" s="160"/>
      <c r="P113" s="160"/>
      <c r="Q113" s="7"/>
    </row>
    <row r="114" spans="2:17" ht="15.65" customHeight="1" x14ac:dyDescent="0.25">
      <c r="B114" s="5"/>
      <c r="C114" s="422" t="s">
        <v>295</v>
      </c>
      <c r="D114" s="423" t="s">
        <v>295</v>
      </c>
      <c r="E114" s="423" t="s">
        <v>295</v>
      </c>
      <c r="F114" s="424" t="s">
        <v>295</v>
      </c>
      <c r="G114" s="216">
        <v>6</v>
      </c>
      <c r="H114" s="216">
        <v>6</v>
      </c>
      <c r="I114" s="215">
        <v>0.25</v>
      </c>
      <c r="J114" s="215">
        <v>10</v>
      </c>
      <c r="K114" s="160"/>
      <c r="L114" s="160"/>
      <c r="M114" s="160"/>
      <c r="N114" s="160"/>
      <c r="O114" s="160"/>
      <c r="P114" s="160"/>
      <c r="Q114" s="7"/>
    </row>
    <row r="115" spans="2:17" ht="18.649999999999999" customHeight="1" x14ac:dyDescent="0.25">
      <c r="B115" s="5"/>
      <c r="C115" s="419" t="s">
        <v>296</v>
      </c>
      <c r="D115" s="420" t="s">
        <v>296</v>
      </c>
      <c r="E115" s="420" t="s">
        <v>296</v>
      </c>
      <c r="F115" s="421" t="s">
        <v>296</v>
      </c>
      <c r="G115" s="215">
        <v>1</v>
      </c>
      <c r="H115" s="215">
        <v>1</v>
      </c>
      <c r="I115" s="215">
        <v>0.25</v>
      </c>
      <c r="J115" s="215">
        <v>10</v>
      </c>
      <c r="K115" s="160"/>
      <c r="L115" s="160"/>
      <c r="M115" s="160"/>
      <c r="N115" s="160"/>
      <c r="O115" s="160"/>
      <c r="P115" s="160"/>
      <c r="Q115" s="7"/>
    </row>
    <row r="116" spans="2:17" ht="30.5" customHeight="1" x14ac:dyDescent="0.25">
      <c r="B116" s="5"/>
      <c r="C116" s="422" t="s">
        <v>297</v>
      </c>
      <c r="D116" s="423" t="s">
        <v>297</v>
      </c>
      <c r="E116" s="423" t="s">
        <v>297</v>
      </c>
      <c r="F116" s="424" t="s">
        <v>297</v>
      </c>
      <c r="G116" s="216">
        <v>6</v>
      </c>
      <c r="H116" s="216">
        <v>6</v>
      </c>
      <c r="I116" s="215">
        <v>0.25</v>
      </c>
      <c r="J116" s="215">
        <v>10</v>
      </c>
      <c r="K116" s="160"/>
      <c r="L116" s="160"/>
      <c r="M116" s="160"/>
      <c r="N116" s="160"/>
      <c r="O116" s="160"/>
      <c r="P116" s="160"/>
      <c r="Q116" s="7"/>
    </row>
    <row r="117" spans="2:17" ht="16" customHeight="1" x14ac:dyDescent="0.25">
      <c r="B117" s="5"/>
      <c r="C117" s="422" t="s">
        <v>298</v>
      </c>
      <c r="D117" s="423" t="s">
        <v>298</v>
      </c>
      <c r="E117" s="423" t="s">
        <v>298</v>
      </c>
      <c r="F117" s="424" t="s">
        <v>298</v>
      </c>
      <c r="G117" s="216">
        <v>6</v>
      </c>
      <c r="H117" s="216">
        <v>6</v>
      </c>
      <c r="I117" s="215">
        <v>0.25</v>
      </c>
      <c r="J117" s="215">
        <v>10</v>
      </c>
      <c r="K117" s="160"/>
      <c r="L117" s="160"/>
      <c r="M117" s="160"/>
      <c r="N117" s="160"/>
      <c r="O117" s="160"/>
      <c r="P117" s="160"/>
      <c r="Q117" s="7"/>
    </row>
    <row r="118" spans="2:17" ht="17.149999999999999" customHeight="1" x14ac:dyDescent="0.25">
      <c r="B118" s="5"/>
      <c r="C118" s="422" t="s">
        <v>299</v>
      </c>
      <c r="D118" s="423" t="s">
        <v>299</v>
      </c>
      <c r="E118" s="423" t="s">
        <v>299</v>
      </c>
      <c r="F118" s="424" t="s">
        <v>299</v>
      </c>
      <c r="G118" s="216">
        <v>6</v>
      </c>
      <c r="H118" s="216">
        <v>6</v>
      </c>
      <c r="I118" s="215">
        <v>0.25</v>
      </c>
      <c r="J118" s="215">
        <v>10</v>
      </c>
      <c r="K118" s="160"/>
      <c r="L118" s="160"/>
      <c r="M118" s="160"/>
      <c r="N118" s="160"/>
      <c r="O118" s="160"/>
      <c r="P118" s="160"/>
      <c r="Q118" s="7"/>
    </row>
    <row r="119" spans="2:17" ht="14.5" customHeight="1" x14ac:dyDescent="0.25">
      <c r="B119" s="5"/>
      <c r="C119" s="419" t="s">
        <v>300</v>
      </c>
      <c r="D119" s="420" t="s">
        <v>300</v>
      </c>
      <c r="E119" s="420" t="s">
        <v>300</v>
      </c>
      <c r="F119" s="421" t="s">
        <v>300</v>
      </c>
      <c r="G119" s="215">
        <v>1</v>
      </c>
      <c r="H119" s="215">
        <v>1</v>
      </c>
      <c r="I119" s="215">
        <v>0.25</v>
      </c>
      <c r="J119" s="215">
        <v>10</v>
      </c>
      <c r="K119" s="160"/>
      <c r="L119" s="160"/>
      <c r="M119" s="160"/>
      <c r="N119" s="160"/>
      <c r="O119" s="160"/>
      <c r="P119" s="160"/>
      <c r="Q119" s="7"/>
    </row>
    <row r="120" spans="2:17" ht="20.149999999999999" customHeight="1" x14ac:dyDescent="0.25">
      <c r="B120" s="5"/>
      <c r="C120" s="422" t="s">
        <v>301</v>
      </c>
      <c r="D120" s="423" t="s">
        <v>301</v>
      </c>
      <c r="E120" s="423" t="s">
        <v>301</v>
      </c>
      <c r="F120" s="424" t="s">
        <v>301</v>
      </c>
      <c r="G120" s="216">
        <v>6</v>
      </c>
      <c r="H120" s="216">
        <v>6</v>
      </c>
      <c r="I120" s="215">
        <v>0.25</v>
      </c>
      <c r="J120" s="215">
        <v>10</v>
      </c>
      <c r="K120" s="160"/>
      <c r="L120" s="160"/>
      <c r="M120" s="160"/>
      <c r="N120" s="160"/>
      <c r="O120" s="160"/>
      <c r="P120" s="160"/>
      <c r="Q120" s="7"/>
    </row>
    <row r="121" spans="2:17" ht="17.5" customHeight="1" x14ac:dyDescent="0.25">
      <c r="B121" s="5"/>
      <c r="C121" s="422" t="s">
        <v>302</v>
      </c>
      <c r="D121" s="423" t="s">
        <v>302</v>
      </c>
      <c r="E121" s="423" t="s">
        <v>302</v>
      </c>
      <c r="F121" s="424" t="s">
        <v>302</v>
      </c>
      <c r="G121" s="216">
        <v>6</v>
      </c>
      <c r="H121" s="216">
        <v>6</v>
      </c>
      <c r="I121" s="215">
        <v>0.25</v>
      </c>
      <c r="J121" s="215">
        <v>10</v>
      </c>
      <c r="K121" s="160"/>
      <c r="L121" s="160"/>
      <c r="M121" s="160"/>
      <c r="N121" s="160"/>
      <c r="O121" s="160"/>
      <c r="P121" s="160"/>
      <c r="Q121" s="7"/>
    </row>
    <row r="122" spans="2:17" ht="20.5" customHeight="1" x14ac:dyDescent="0.25">
      <c r="B122" s="5"/>
      <c r="C122" s="422" t="s">
        <v>303</v>
      </c>
      <c r="D122" s="423" t="s">
        <v>303</v>
      </c>
      <c r="E122" s="423" t="s">
        <v>303</v>
      </c>
      <c r="F122" s="424" t="s">
        <v>303</v>
      </c>
      <c r="G122" s="216">
        <v>6</v>
      </c>
      <c r="H122" s="216">
        <v>6</v>
      </c>
      <c r="I122" s="215">
        <v>0.25</v>
      </c>
      <c r="J122" s="215">
        <v>10</v>
      </c>
      <c r="K122" s="160"/>
      <c r="L122" s="160"/>
      <c r="M122" s="160"/>
      <c r="N122" s="160"/>
      <c r="O122" s="160"/>
      <c r="P122" s="160"/>
      <c r="Q122" s="7"/>
    </row>
    <row r="123" spans="2:17" ht="20.149999999999999" customHeight="1" x14ac:dyDescent="0.25">
      <c r="B123" s="5"/>
      <c r="C123" s="422" t="s">
        <v>304</v>
      </c>
      <c r="D123" s="423" t="s">
        <v>304</v>
      </c>
      <c r="E123" s="423" t="s">
        <v>304</v>
      </c>
      <c r="F123" s="424" t="s">
        <v>304</v>
      </c>
      <c r="G123" s="216">
        <v>6</v>
      </c>
      <c r="H123" s="216">
        <v>6</v>
      </c>
      <c r="I123" s="215">
        <v>0.25</v>
      </c>
      <c r="J123" s="215">
        <v>10</v>
      </c>
      <c r="K123" s="160"/>
      <c r="L123" s="160"/>
      <c r="M123" s="160"/>
      <c r="N123" s="160"/>
      <c r="O123" s="160"/>
      <c r="P123" s="160"/>
      <c r="Q123" s="7"/>
    </row>
    <row r="124" spans="2:17" ht="15.65" customHeight="1" x14ac:dyDescent="0.25">
      <c r="B124" s="5"/>
      <c r="C124" s="422" t="s">
        <v>305</v>
      </c>
      <c r="D124" s="423" t="s">
        <v>305</v>
      </c>
      <c r="E124" s="423" t="s">
        <v>305</v>
      </c>
      <c r="F124" s="424" t="s">
        <v>305</v>
      </c>
      <c r="G124" s="216">
        <v>6</v>
      </c>
      <c r="H124" s="216">
        <v>6</v>
      </c>
      <c r="I124" s="215">
        <v>0.25</v>
      </c>
      <c r="J124" s="215">
        <v>10</v>
      </c>
      <c r="K124" s="160"/>
      <c r="L124" s="160"/>
      <c r="M124" s="160"/>
      <c r="N124" s="160"/>
      <c r="O124" s="160"/>
      <c r="P124" s="160"/>
      <c r="Q124" s="7"/>
    </row>
    <row r="125" spans="2:17" ht="16" customHeight="1" x14ac:dyDescent="0.25">
      <c r="B125" s="5"/>
      <c r="C125" s="422" t="s">
        <v>306</v>
      </c>
      <c r="D125" s="423" t="s">
        <v>306</v>
      </c>
      <c r="E125" s="423" t="s">
        <v>306</v>
      </c>
      <c r="F125" s="424" t="s">
        <v>306</v>
      </c>
      <c r="G125" s="216">
        <v>6</v>
      </c>
      <c r="H125" s="216">
        <v>6</v>
      </c>
      <c r="I125" s="215">
        <v>0.25</v>
      </c>
      <c r="J125" s="215">
        <v>10</v>
      </c>
      <c r="K125" s="160"/>
      <c r="L125" s="160"/>
      <c r="M125" s="160"/>
      <c r="N125" s="160"/>
      <c r="O125" s="160"/>
      <c r="P125" s="160"/>
      <c r="Q125" s="7"/>
    </row>
    <row r="126" spans="2:17" ht="19" customHeight="1" x14ac:dyDescent="0.25">
      <c r="B126" s="5"/>
      <c r="C126" s="422" t="s">
        <v>307</v>
      </c>
      <c r="D126" s="423" t="s">
        <v>307</v>
      </c>
      <c r="E126" s="423" t="s">
        <v>307</v>
      </c>
      <c r="F126" s="424" t="s">
        <v>307</v>
      </c>
      <c r="G126" s="216">
        <v>6</v>
      </c>
      <c r="H126" s="216">
        <v>6</v>
      </c>
      <c r="I126" s="215">
        <v>0.25</v>
      </c>
      <c r="J126" s="215">
        <v>10</v>
      </c>
      <c r="K126" s="160"/>
      <c r="L126" s="160"/>
      <c r="M126" s="160"/>
      <c r="N126" s="160"/>
      <c r="O126" s="160"/>
      <c r="P126" s="160"/>
      <c r="Q126" s="7"/>
    </row>
    <row r="127" spans="2:17" ht="18.649999999999999" customHeight="1" x14ac:dyDescent="0.25">
      <c r="B127" s="5"/>
      <c r="C127" s="422" t="s">
        <v>308</v>
      </c>
      <c r="D127" s="423" t="s">
        <v>308</v>
      </c>
      <c r="E127" s="423" t="s">
        <v>308</v>
      </c>
      <c r="F127" s="424" t="s">
        <v>308</v>
      </c>
      <c r="G127" s="216">
        <v>6</v>
      </c>
      <c r="H127" s="216">
        <v>6</v>
      </c>
      <c r="I127" s="215">
        <v>0.25</v>
      </c>
      <c r="J127" s="215">
        <v>10</v>
      </c>
      <c r="K127" s="160"/>
      <c r="L127" s="160"/>
      <c r="M127" s="160"/>
      <c r="N127" s="160"/>
      <c r="O127" s="160"/>
      <c r="P127" s="160"/>
      <c r="Q127" s="7"/>
    </row>
    <row r="128" spans="2:17" ht="20.149999999999999" customHeight="1" x14ac:dyDescent="0.25">
      <c r="B128" s="5"/>
      <c r="C128" s="422" t="s">
        <v>309</v>
      </c>
      <c r="D128" s="423" t="s">
        <v>309</v>
      </c>
      <c r="E128" s="423" t="s">
        <v>309</v>
      </c>
      <c r="F128" s="424" t="s">
        <v>309</v>
      </c>
      <c r="G128" s="216">
        <v>6</v>
      </c>
      <c r="H128" s="216">
        <v>6</v>
      </c>
      <c r="I128" s="215">
        <v>0.25</v>
      </c>
      <c r="J128" s="215">
        <v>10</v>
      </c>
      <c r="K128" s="160"/>
      <c r="L128" s="160"/>
      <c r="M128" s="160"/>
      <c r="N128" s="160"/>
      <c r="O128" s="160"/>
      <c r="P128" s="160"/>
      <c r="Q128" s="7"/>
    </row>
    <row r="129" spans="2:17" ht="19" customHeight="1" x14ac:dyDescent="0.25">
      <c r="B129" s="5"/>
      <c r="C129" s="422" t="s">
        <v>310</v>
      </c>
      <c r="D129" s="423" t="s">
        <v>310</v>
      </c>
      <c r="E129" s="423" t="s">
        <v>310</v>
      </c>
      <c r="F129" s="424" t="s">
        <v>310</v>
      </c>
      <c r="G129" s="216">
        <v>6</v>
      </c>
      <c r="H129" s="216">
        <v>6</v>
      </c>
      <c r="I129" s="215">
        <v>0.25</v>
      </c>
      <c r="J129" s="215">
        <v>10</v>
      </c>
      <c r="K129" s="160"/>
      <c r="L129" s="160"/>
      <c r="M129" s="160"/>
      <c r="N129" s="160"/>
      <c r="O129" s="160"/>
      <c r="P129" s="160"/>
      <c r="Q129" s="7"/>
    </row>
    <row r="130" spans="2:17" ht="17.149999999999999" customHeight="1" x14ac:dyDescent="0.25">
      <c r="B130" s="5"/>
      <c r="C130" s="422" t="s">
        <v>311</v>
      </c>
      <c r="D130" s="423" t="s">
        <v>311</v>
      </c>
      <c r="E130" s="423" t="s">
        <v>311</v>
      </c>
      <c r="F130" s="424" t="s">
        <v>311</v>
      </c>
      <c r="G130" s="216">
        <v>6</v>
      </c>
      <c r="H130" s="216">
        <v>6</v>
      </c>
      <c r="I130" s="215">
        <v>0.25</v>
      </c>
      <c r="J130" s="215">
        <v>10</v>
      </c>
      <c r="K130" s="160"/>
      <c r="L130" s="160"/>
      <c r="M130" s="160"/>
      <c r="N130" s="160"/>
      <c r="O130" s="160"/>
      <c r="P130" s="160"/>
      <c r="Q130" s="7"/>
    </row>
    <row r="131" spans="2:17" ht="17.5" customHeight="1" x14ac:dyDescent="0.25">
      <c r="B131" s="5"/>
      <c r="C131" s="422" t="s">
        <v>312</v>
      </c>
      <c r="D131" s="423" t="s">
        <v>312</v>
      </c>
      <c r="E131" s="423" t="s">
        <v>312</v>
      </c>
      <c r="F131" s="424" t="s">
        <v>312</v>
      </c>
      <c r="G131" s="216">
        <v>6</v>
      </c>
      <c r="H131" s="216">
        <v>6</v>
      </c>
      <c r="I131" s="215">
        <v>0.25</v>
      </c>
      <c r="J131" s="215">
        <v>10</v>
      </c>
      <c r="K131" s="160"/>
      <c r="L131" s="160"/>
      <c r="M131" s="160"/>
      <c r="N131" s="160"/>
      <c r="O131" s="160"/>
      <c r="P131" s="160"/>
      <c r="Q131" s="7"/>
    </row>
    <row r="132" spans="2:17" ht="17.149999999999999" customHeight="1" x14ac:dyDescent="0.25">
      <c r="B132" s="5"/>
      <c r="C132" s="422" t="s">
        <v>313</v>
      </c>
      <c r="D132" s="423" t="s">
        <v>313</v>
      </c>
      <c r="E132" s="423" t="s">
        <v>313</v>
      </c>
      <c r="F132" s="424" t="s">
        <v>313</v>
      </c>
      <c r="G132" s="216">
        <v>6</v>
      </c>
      <c r="H132" s="216">
        <v>6</v>
      </c>
      <c r="I132" s="215">
        <v>0.25</v>
      </c>
      <c r="J132" s="215">
        <v>10</v>
      </c>
      <c r="K132" s="160"/>
      <c r="L132" s="160"/>
      <c r="M132" s="160"/>
      <c r="N132" s="160"/>
      <c r="O132" s="160"/>
      <c r="P132" s="160"/>
      <c r="Q132" s="7"/>
    </row>
    <row r="133" spans="2:17" ht="17.149999999999999" customHeight="1" x14ac:dyDescent="0.25">
      <c r="B133" s="5"/>
      <c r="C133" s="422" t="s">
        <v>314</v>
      </c>
      <c r="D133" s="423" t="s">
        <v>314</v>
      </c>
      <c r="E133" s="423" t="s">
        <v>314</v>
      </c>
      <c r="F133" s="424" t="s">
        <v>314</v>
      </c>
      <c r="G133" s="216">
        <v>6</v>
      </c>
      <c r="H133" s="216">
        <v>6</v>
      </c>
      <c r="I133" s="215">
        <v>0.25</v>
      </c>
      <c r="J133" s="215">
        <v>10</v>
      </c>
      <c r="K133" s="160"/>
      <c r="L133" s="160"/>
      <c r="M133" s="160"/>
      <c r="N133" s="160"/>
      <c r="O133" s="160"/>
      <c r="P133" s="160"/>
      <c r="Q133" s="7"/>
    </row>
    <row r="134" spans="2:17" ht="16" customHeight="1" x14ac:dyDescent="0.25">
      <c r="B134" s="5"/>
      <c r="C134" s="422" t="s">
        <v>315</v>
      </c>
      <c r="D134" s="423" t="s">
        <v>315</v>
      </c>
      <c r="E134" s="423" t="s">
        <v>315</v>
      </c>
      <c r="F134" s="424" t="s">
        <v>315</v>
      </c>
      <c r="G134" s="216">
        <v>6</v>
      </c>
      <c r="H134" s="216">
        <v>6</v>
      </c>
      <c r="I134" s="215">
        <v>0.25</v>
      </c>
      <c r="J134" s="215">
        <v>10</v>
      </c>
      <c r="K134" s="160"/>
      <c r="L134" s="160"/>
      <c r="M134" s="160"/>
      <c r="N134" s="160"/>
      <c r="O134" s="160"/>
      <c r="P134" s="160"/>
      <c r="Q134" s="7"/>
    </row>
    <row r="135" spans="2:17" ht="14.5" customHeight="1" x14ac:dyDescent="0.25">
      <c r="B135" s="5"/>
      <c r="C135" s="422" t="s">
        <v>316</v>
      </c>
      <c r="D135" s="423" t="s">
        <v>316</v>
      </c>
      <c r="E135" s="423" t="s">
        <v>316</v>
      </c>
      <c r="F135" s="424" t="s">
        <v>316</v>
      </c>
      <c r="G135" s="216">
        <v>6</v>
      </c>
      <c r="H135" s="216">
        <v>6</v>
      </c>
      <c r="I135" s="215">
        <v>0.25</v>
      </c>
      <c r="J135" s="215">
        <v>10</v>
      </c>
      <c r="K135" s="160"/>
      <c r="L135" s="160"/>
      <c r="M135" s="160"/>
      <c r="N135" s="160"/>
      <c r="O135" s="160"/>
      <c r="P135" s="160"/>
      <c r="Q135" s="7"/>
    </row>
    <row r="136" spans="2:17" ht="16" customHeight="1" x14ac:dyDescent="0.25">
      <c r="B136" s="5"/>
      <c r="C136" s="422" t="s">
        <v>317</v>
      </c>
      <c r="D136" s="423" t="s">
        <v>317</v>
      </c>
      <c r="E136" s="423" t="s">
        <v>317</v>
      </c>
      <c r="F136" s="424" t="s">
        <v>317</v>
      </c>
      <c r="G136" s="216">
        <v>6</v>
      </c>
      <c r="H136" s="216">
        <v>6</v>
      </c>
      <c r="I136" s="215">
        <v>0.25</v>
      </c>
      <c r="J136" s="215">
        <v>10</v>
      </c>
      <c r="K136" s="160"/>
      <c r="L136" s="160"/>
      <c r="M136" s="160"/>
      <c r="N136" s="160"/>
      <c r="O136" s="160"/>
      <c r="P136" s="160"/>
      <c r="Q136" s="7"/>
    </row>
    <row r="137" spans="2:17" ht="15.65" customHeight="1" x14ac:dyDescent="0.25">
      <c r="B137" s="5"/>
      <c r="C137" s="422" t="s">
        <v>318</v>
      </c>
      <c r="D137" s="423" t="s">
        <v>318</v>
      </c>
      <c r="E137" s="423" t="s">
        <v>318</v>
      </c>
      <c r="F137" s="424" t="s">
        <v>318</v>
      </c>
      <c r="G137" s="216">
        <v>6</v>
      </c>
      <c r="H137" s="216">
        <v>6</v>
      </c>
      <c r="I137" s="215">
        <v>0.25</v>
      </c>
      <c r="J137" s="215">
        <v>10</v>
      </c>
      <c r="K137" s="160"/>
      <c r="L137" s="160"/>
      <c r="M137" s="160"/>
      <c r="N137" s="160"/>
      <c r="O137" s="160"/>
      <c r="P137" s="160"/>
      <c r="Q137" s="7"/>
    </row>
    <row r="138" spans="2:17" ht="14.5" customHeight="1" x14ac:dyDescent="0.25">
      <c r="B138" s="5"/>
      <c r="C138" s="419" t="s">
        <v>319</v>
      </c>
      <c r="D138" s="420" t="s">
        <v>319</v>
      </c>
      <c r="E138" s="420" t="s">
        <v>319</v>
      </c>
      <c r="F138" s="421" t="s">
        <v>319</v>
      </c>
      <c r="G138" s="215">
        <v>1</v>
      </c>
      <c r="H138" s="215">
        <v>1</v>
      </c>
      <c r="I138" s="215">
        <v>0.25</v>
      </c>
      <c r="J138" s="215">
        <v>10</v>
      </c>
      <c r="K138" s="160"/>
      <c r="L138" s="160"/>
      <c r="M138" s="160"/>
      <c r="N138" s="160"/>
      <c r="O138" s="160"/>
      <c r="P138" s="160"/>
      <c r="Q138" s="7"/>
    </row>
    <row r="139" spans="2:17" ht="17.149999999999999" customHeight="1" x14ac:dyDescent="0.25">
      <c r="B139" s="5"/>
      <c r="C139" s="422" t="s">
        <v>320</v>
      </c>
      <c r="D139" s="423" t="s">
        <v>320</v>
      </c>
      <c r="E139" s="423" t="s">
        <v>320</v>
      </c>
      <c r="F139" s="424" t="s">
        <v>320</v>
      </c>
      <c r="G139" s="216">
        <v>6</v>
      </c>
      <c r="H139" s="216">
        <v>6</v>
      </c>
      <c r="I139" s="215">
        <v>0.25</v>
      </c>
      <c r="J139" s="215">
        <v>10</v>
      </c>
      <c r="K139" s="160"/>
      <c r="L139" s="160"/>
      <c r="M139" s="160"/>
      <c r="N139" s="160"/>
      <c r="O139" s="160"/>
      <c r="P139" s="160"/>
      <c r="Q139" s="7"/>
    </row>
    <row r="140" spans="2:17" ht="17.149999999999999" customHeight="1" x14ac:dyDescent="0.25">
      <c r="B140" s="5"/>
      <c r="C140" s="419" t="s">
        <v>321</v>
      </c>
      <c r="D140" s="420" t="s">
        <v>321</v>
      </c>
      <c r="E140" s="420" t="s">
        <v>321</v>
      </c>
      <c r="F140" s="421" t="s">
        <v>321</v>
      </c>
      <c r="G140" s="215">
        <v>1</v>
      </c>
      <c r="H140" s="215">
        <v>1</v>
      </c>
      <c r="I140" s="215">
        <v>0.25</v>
      </c>
      <c r="J140" s="215">
        <v>10</v>
      </c>
      <c r="K140" s="160"/>
      <c r="L140" s="160"/>
      <c r="M140" s="160"/>
      <c r="N140" s="160"/>
      <c r="O140" s="160"/>
      <c r="P140" s="160"/>
      <c r="Q140" s="7"/>
    </row>
    <row r="141" spans="2:17" ht="18.649999999999999" customHeight="1" x14ac:dyDescent="0.25">
      <c r="B141" s="5"/>
      <c r="C141" s="422" t="s">
        <v>322</v>
      </c>
      <c r="D141" s="423" t="s">
        <v>322</v>
      </c>
      <c r="E141" s="423" t="s">
        <v>322</v>
      </c>
      <c r="F141" s="424" t="s">
        <v>322</v>
      </c>
      <c r="G141" s="216">
        <v>6</v>
      </c>
      <c r="H141" s="216">
        <v>6</v>
      </c>
      <c r="I141" s="215">
        <v>0.25</v>
      </c>
      <c r="J141" s="215">
        <v>10</v>
      </c>
      <c r="K141" s="160"/>
      <c r="L141" s="160"/>
      <c r="M141" s="160"/>
      <c r="N141" s="160"/>
      <c r="O141" s="160"/>
      <c r="P141" s="160"/>
      <c r="Q141" s="7"/>
    </row>
    <row r="142" spans="2:17" ht="17.149999999999999" customHeight="1" x14ac:dyDescent="0.25">
      <c r="B142" s="5"/>
      <c r="C142" s="419" t="s">
        <v>323</v>
      </c>
      <c r="D142" s="420" t="s">
        <v>323</v>
      </c>
      <c r="E142" s="420" t="s">
        <v>323</v>
      </c>
      <c r="F142" s="421" t="s">
        <v>323</v>
      </c>
      <c r="G142" s="215">
        <v>2</v>
      </c>
      <c r="H142" s="215">
        <v>2</v>
      </c>
      <c r="I142" s="215">
        <v>0.25</v>
      </c>
      <c r="J142" s="215">
        <v>10</v>
      </c>
      <c r="K142" s="160"/>
      <c r="L142" s="160"/>
      <c r="M142" s="160"/>
      <c r="N142" s="160"/>
      <c r="O142" s="160"/>
      <c r="P142" s="160"/>
      <c r="Q142" s="7"/>
    </row>
    <row r="143" spans="2:17" ht="17.149999999999999" customHeight="1" x14ac:dyDescent="0.25">
      <c r="B143" s="5"/>
      <c r="C143" s="419" t="s">
        <v>324</v>
      </c>
      <c r="D143" s="420" t="s">
        <v>324</v>
      </c>
      <c r="E143" s="420" t="s">
        <v>324</v>
      </c>
      <c r="F143" s="421" t="s">
        <v>324</v>
      </c>
      <c r="G143" s="215">
        <v>1</v>
      </c>
      <c r="H143" s="215">
        <v>1</v>
      </c>
      <c r="I143" s="215">
        <v>0.25</v>
      </c>
      <c r="J143" s="215">
        <v>10</v>
      </c>
      <c r="K143" s="160"/>
      <c r="L143" s="160"/>
      <c r="M143" s="160"/>
      <c r="N143" s="160"/>
      <c r="O143" s="160"/>
      <c r="P143" s="160"/>
      <c r="Q143" s="7"/>
    </row>
    <row r="144" spans="2:17" ht="17.149999999999999" customHeight="1" x14ac:dyDescent="0.25">
      <c r="B144" s="5"/>
      <c r="C144" s="422" t="s">
        <v>325</v>
      </c>
      <c r="D144" s="423" t="s">
        <v>325</v>
      </c>
      <c r="E144" s="423" t="s">
        <v>325</v>
      </c>
      <c r="F144" s="424" t="s">
        <v>325</v>
      </c>
      <c r="G144" s="216">
        <v>6</v>
      </c>
      <c r="H144" s="216">
        <v>6</v>
      </c>
      <c r="I144" s="215">
        <v>0.25</v>
      </c>
      <c r="J144" s="215">
        <v>10</v>
      </c>
      <c r="K144" s="160"/>
      <c r="L144" s="160"/>
      <c r="M144" s="160"/>
      <c r="N144" s="160"/>
      <c r="O144" s="160"/>
      <c r="P144" s="160"/>
      <c r="Q144" s="7"/>
    </row>
    <row r="145" spans="2:17" ht="17.149999999999999" customHeight="1" x14ac:dyDescent="0.25">
      <c r="B145" s="5"/>
      <c r="C145" s="419" t="s">
        <v>326</v>
      </c>
      <c r="D145" s="420" t="s">
        <v>326</v>
      </c>
      <c r="E145" s="420" t="s">
        <v>326</v>
      </c>
      <c r="F145" s="421" t="s">
        <v>326</v>
      </c>
      <c r="G145" s="215">
        <v>2</v>
      </c>
      <c r="H145" s="215">
        <v>2</v>
      </c>
      <c r="I145" s="215">
        <v>0.25</v>
      </c>
      <c r="J145" s="215">
        <v>10</v>
      </c>
      <c r="K145" s="160"/>
      <c r="L145" s="160"/>
      <c r="M145" s="160"/>
      <c r="N145" s="160"/>
      <c r="O145" s="160"/>
      <c r="P145" s="160"/>
      <c r="Q145" s="7"/>
    </row>
    <row r="146" spans="2:17" ht="17.149999999999999" customHeight="1" x14ac:dyDescent="0.25">
      <c r="B146" s="5"/>
      <c r="C146" s="422" t="s">
        <v>327</v>
      </c>
      <c r="D146" s="423" t="s">
        <v>327</v>
      </c>
      <c r="E146" s="423" t="s">
        <v>327</v>
      </c>
      <c r="F146" s="424" t="s">
        <v>327</v>
      </c>
      <c r="G146" s="216">
        <v>6</v>
      </c>
      <c r="H146" s="216">
        <v>6</v>
      </c>
      <c r="I146" s="215">
        <v>0.25</v>
      </c>
      <c r="J146" s="215">
        <v>10</v>
      </c>
      <c r="K146" s="160"/>
      <c r="L146" s="160"/>
      <c r="M146" s="160"/>
      <c r="N146" s="160"/>
      <c r="O146" s="160"/>
      <c r="P146" s="160"/>
      <c r="Q146" s="7"/>
    </row>
    <row r="147" spans="2:17" ht="17.149999999999999" customHeight="1" x14ac:dyDescent="0.25">
      <c r="B147" s="5"/>
      <c r="C147" s="422" t="s">
        <v>328</v>
      </c>
      <c r="D147" s="423" t="s">
        <v>328</v>
      </c>
      <c r="E147" s="423" t="s">
        <v>328</v>
      </c>
      <c r="F147" s="424" t="s">
        <v>328</v>
      </c>
      <c r="G147" s="216">
        <v>6</v>
      </c>
      <c r="H147" s="216">
        <v>6</v>
      </c>
      <c r="I147" s="215">
        <v>0.25</v>
      </c>
      <c r="J147" s="215">
        <v>10</v>
      </c>
      <c r="K147" s="160"/>
      <c r="L147" s="160"/>
      <c r="M147" s="160"/>
      <c r="N147" s="160"/>
      <c r="O147" s="160"/>
      <c r="P147" s="160"/>
      <c r="Q147" s="7"/>
    </row>
    <row r="148" spans="2:17" ht="17.149999999999999" customHeight="1" x14ac:dyDescent="0.25">
      <c r="B148" s="5"/>
      <c r="C148" s="419" t="s">
        <v>329</v>
      </c>
      <c r="D148" s="420" t="s">
        <v>329</v>
      </c>
      <c r="E148" s="420" t="s">
        <v>329</v>
      </c>
      <c r="F148" s="421" t="s">
        <v>329</v>
      </c>
      <c r="G148" s="215">
        <v>1</v>
      </c>
      <c r="H148" s="215">
        <v>1</v>
      </c>
      <c r="I148" s="215">
        <v>0.25</v>
      </c>
      <c r="J148" s="215">
        <v>10</v>
      </c>
      <c r="K148" s="160"/>
      <c r="L148" s="160"/>
      <c r="M148" s="160"/>
      <c r="N148" s="160"/>
      <c r="O148" s="160"/>
      <c r="P148" s="160"/>
      <c r="Q148" s="7"/>
    </row>
    <row r="149" spans="2:17" ht="17.149999999999999" customHeight="1" x14ac:dyDescent="0.25">
      <c r="B149" s="5"/>
      <c r="C149" s="422" t="s">
        <v>330</v>
      </c>
      <c r="D149" s="423" t="s">
        <v>330</v>
      </c>
      <c r="E149" s="423" t="s">
        <v>330</v>
      </c>
      <c r="F149" s="424" t="s">
        <v>330</v>
      </c>
      <c r="G149" s="216">
        <v>6</v>
      </c>
      <c r="H149" s="216">
        <v>6</v>
      </c>
      <c r="I149" s="215">
        <v>0.25</v>
      </c>
      <c r="J149" s="215">
        <v>10</v>
      </c>
      <c r="K149" s="160"/>
      <c r="L149" s="160"/>
      <c r="M149" s="160"/>
      <c r="N149" s="160"/>
      <c r="O149" s="160"/>
      <c r="P149" s="160"/>
      <c r="Q149" s="7"/>
    </row>
    <row r="150" spans="2:17" ht="17.149999999999999" customHeight="1" x14ac:dyDescent="0.25">
      <c r="B150" s="5"/>
      <c r="C150" s="422" t="s">
        <v>331</v>
      </c>
      <c r="D150" s="423" t="s">
        <v>331</v>
      </c>
      <c r="E150" s="423" t="s">
        <v>331</v>
      </c>
      <c r="F150" s="424" t="s">
        <v>331</v>
      </c>
      <c r="G150" s="216">
        <v>6</v>
      </c>
      <c r="H150" s="216">
        <v>6</v>
      </c>
      <c r="I150" s="215">
        <v>0.25</v>
      </c>
      <c r="J150" s="215">
        <v>10</v>
      </c>
      <c r="K150" s="160"/>
      <c r="L150" s="160"/>
      <c r="M150" s="160"/>
      <c r="N150" s="160"/>
      <c r="O150" s="160"/>
      <c r="P150" s="160"/>
      <c r="Q150" s="7"/>
    </row>
    <row r="151" spans="2:17" ht="17.149999999999999" customHeight="1" x14ac:dyDescent="0.25">
      <c r="B151" s="5"/>
      <c r="C151" s="422" t="s">
        <v>332</v>
      </c>
      <c r="D151" s="423" t="s">
        <v>332</v>
      </c>
      <c r="E151" s="423" t="s">
        <v>332</v>
      </c>
      <c r="F151" s="424" t="s">
        <v>332</v>
      </c>
      <c r="G151" s="216">
        <v>6</v>
      </c>
      <c r="H151" s="216">
        <v>6</v>
      </c>
      <c r="I151" s="215">
        <v>0.25</v>
      </c>
      <c r="J151" s="215">
        <v>10</v>
      </c>
      <c r="K151" s="160"/>
      <c r="L151" s="160"/>
      <c r="M151" s="160"/>
      <c r="N151" s="160"/>
      <c r="O151" s="160"/>
      <c r="P151" s="160"/>
      <c r="Q151" s="7"/>
    </row>
    <row r="152" spans="2:17" ht="17.149999999999999" customHeight="1" x14ac:dyDescent="0.25">
      <c r="B152" s="5"/>
      <c r="C152" s="422" t="s">
        <v>333</v>
      </c>
      <c r="D152" s="423" t="s">
        <v>333</v>
      </c>
      <c r="E152" s="423" t="s">
        <v>333</v>
      </c>
      <c r="F152" s="424" t="s">
        <v>333</v>
      </c>
      <c r="G152" s="216">
        <v>6</v>
      </c>
      <c r="H152" s="216">
        <v>6</v>
      </c>
      <c r="I152" s="215">
        <v>0.25</v>
      </c>
      <c r="J152" s="215">
        <v>10</v>
      </c>
      <c r="K152" s="160"/>
      <c r="L152" s="160"/>
      <c r="M152" s="160"/>
      <c r="N152" s="160"/>
      <c r="O152" s="160"/>
      <c r="P152" s="160"/>
      <c r="Q152" s="7"/>
    </row>
    <row r="153" spans="2:17" ht="17.149999999999999" customHeight="1" x14ac:dyDescent="0.25">
      <c r="B153" s="5"/>
      <c r="C153" s="422" t="s">
        <v>334</v>
      </c>
      <c r="D153" s="423" t="s">
        <v>334</v>
      </c>
      <c r="E153" s="423" t="s">
        <v>334</v>
      </c>
      <c r="F153" s="424" t="s">
        <v>334</v>
      </c>
      <c r="G153" s="216">
        <v>6</v>
      </c>
      <c r="H153" s="216">
        <v>6</v>
      </c>
      <c r="I153" s="215">
        <v>0.25</v>
      </c>
      <c r="J153" s="215">
        <v>10</v>
      </c>
      <c r="K153" s="160"/>
      <c r="L153" s="160"/>
      <c r="M153" s="160"/>
      <c r="N153" s="160"/>
      <c r="O153" s="160"/>
      <c r="P153" s="160"/>
      <c r="Q153" s="7"/>
    </row>
    <row r="154" spans="2:17" ht="17.149999999999999" customHeight="1" x14ac:dyDescent="0.25">
      <c r="B154" s="5"/>
      <c r="C154" s="422" t="s">
        <v>335</v>
      </c>
      <c r="D154" s="423" t="s">
        <v>335</v>
      </c>
      <c r="E154" s="423" t="s">
        <v>335</v>
      </c>
      <c r="F154" s="424" t="s">
        <v>335</v>
      </c>
      <c r="G154" s="216">
        <v>6</v>
      </c>
      <c r="H154" s="216">
        <v>6</v>
      </c>
      <c r="I154" s="215">
        <v>0.25</v>
      </c>
      <c r="J154" s="215">
        <v>10</v>
      </c>
      <c r="K154" s="160"/>
      <c r="L154" s="160"/>
      <c r="M154" s="160"/>
      <c r="N154" s="160"/>
      <c r="O154" s="160"/>
      <c r="P154" s="160"/>
      <c r="Q154" s="7"/>
    </row>
    <row r="155" spans="2:17" ht="17.149999999999999" customHeight="1" x14ac:dyDescent="0.25">
      <c r="B155" s="5"/>
      <c r="C155" s="419" t="s">
        <v>336</v>
      </c>
      <c r="D155" s="420" t="s">
        <v>336</v>
      </c>
      <c r="E155" s="420" t="s">
        <v>336</v>
      </c>
      <c r="F155" s="421" t="s">
        <v>336</v>
      </c>
      <c r="G155" s="215">
        <v>3</v>
      </c>
      <c r="H155" s="215">
        <v>0.5</v>
      </c>
      <c r="I155" s="215">
        <v>0.25</v>
      </c>
      <c r="J155" s="215">
        <v>10</v>
      </c>
      <c r="K155" s="160"/>
      <c r="L155" s="160"/>
      <c r="M155" s="160"/>
      <c r="N155" s="160"/>
      <c r="O155" s="160"/>
      <c r="P155" s="160"/>
      <c r="Q155" s="7"/>
    </row>
    <row r="156" spans="2:17" ht="17.149999999999999" customHeight="1" x14ac:dyDescent="0.25">
      <c r="B156" s="5"/>
      <c r="C156" s="422" t="s">
        <v>337</v>
      </c>
      <c r="D156" s="423" t="s">
        <v>337</v>
      </c>
      <c r="E156" s="423" t="s">
        <v>337</v>
      </c>
      <c r="F156" s="424" t="s">
        <v>337</v>
      </c>
      <c r="G156" s="216">
        <v>6</v>
      </c>
      <c r="H156" s="216">
        <v>6</v>
      </c>
      <c r="I156" s="215">
        <v>0.25</v>
      </c>
      <c r="J156" s="215">
        <v>10</v>
      </c>
      <c r="K156" s="160"/>
      <c r="L156" s="160"/>
      <c r="M156" s="160"/>
      <c r="N156" s="160"/>
      <c r="O156" s="160"/>
      <c r="P156" s="160"/>
      <c r="Q156" s="7"/>
    </row>
    <row r="157" spans="2:17" ht="17.149999999999999" customHeight="1" x14ac:dyDescent="0.25">
      <c r="B157" s="5"/>
      <c r="C157" s="422" t="s">
        <v>338</v>
      </c>
      <c r="D157" s="423" t="s">
        <v>338</v>
      </c>
      <c r="E157" s="423" t="s">
        <v>338</v>
      </c>
      <c r="F157" s="424" t="s">
        <v>338</v>
      </c>
      <c r="G157" s="216">
        <v>6</v>
      </c>
      <c r="H157" s="216">
        <v>6</v>
      </c>
      <c r="I157" s="215">
        <v>0.25</v>
      </c>
      <c r="J157" s="215">
        <v>10</v>
      </c>
      <c r="K157" s="160"/>
      <c r="L157" s="160"/>
      <c r="M157" s="160"/>
      <c r="N157" s="160"/>
      <c r="O157" s="160"/>
      <c r="P157" s="160"/>
      <c r="Q157" s="7"/>
    </row>
    <row r="158" spans="2:17" ht="20.149999999999999" customHeight="1" x14ac:dyDescent="0.25">
      <c r="B158" s="5"/>
      <c r="C158" s="419" t="s">
        <v>339</v>
      </c>
      <c r="D158" s="420" t="s">
        <v>339</v>
      </c>
      <c r="E158" s="420" t="s">
        <v>339</v>
      </c>
      <c r="F158" s="421" t="s">
        <v>339</v>
      </c>
      <c r="G158" s="215">
        <v>1</v>
      </c>
      <c r="H158" s="215">
        <v>1</v>
      </c>
      <c r="I158" s="215">
        <v>0.25</v>
      </c>
      <c r="J158" s="215">
        <v>10</v>
      </c>
      <c r="K158" s="160"/>
      <c r="L158" s="160"/>
      <c r="M158" s="160"/>
      <c r="N158" s="160"/>
      <c r="O158" s="160"/>
      <c r="P158" s="160"/>
      <c r="Q158" s="7"/>
    </row>
    <row r="159" spans="2:17" ht="20.5" customHeight="1" x14ac:dyDescent="0.25">
      <c r="B159" s="5"/>
      <c r="C159" s="422" t="s">
        <v>340</v>
      </c>
      <c r="D159" s="423" t="s">
        <v>340</v>
      </c>
      <c r="E159" s="423" t="s">
        <v>340</v>
      </c>
      <c r="F159" s="424" t="s">
        <v>340</v>
      </c>
      <c r="G159" s="216">
        <v>6</v>
      </c>
      <c r="H159" s="216">
        <v>6</v>
      </c>
      <c r="I159" s="215">
        <v>0.25</v>
      </c>
      <c r="J159" s="215">
        <v>10</v>
      </c>
      <c r="K159" s="160"/>
      <c r="L159" s="160"/>
      <c r="M159" s="160"/>
      <c r="N159" s="160"/>
      <c r="O159" s="160"/>
      <c r="P159" s="160"/>
      <c r="Q159" s="7"/>
    </row>
    <row r="160" spans="2:17" ht="16" customHeight="1" x14ac:dyDescent="0.25">
      <c r="B160" s="5"/>
      <c r="C160" s="422" t="s">
        <v>341</v>
      </c>
      <c r="D160" s="423" t="s">
        <v>341</v>
      </c>
      <c r="E160" s="423" t="s">
        <v>341</v>
      </c>
      <c r="F160" s="424" t="s">
        <v>341</v>
      </c>
      <c r="G160" s="216">
        <v>6</v>
      </c>
      <c r="H160" s="216">
        <v>6</v>
      </c>
      <c r="I160" s="215">
        <v>0.25</v>
      </c>
      <c r="J160" s="215">
        <v>10</v>
      </c>
      <c r="K160" s="160"/>
      <c r="L160" s="160"/>
      <c r="M160" s="160"/>
      <c r="N160" s="160"/>
      <c r="O160" s="160"/>
      <c r="P160" s="160"/>
      <c r="Q160" s="7"/>
    </row>
    <row r="161" spans="2:17" ht="17.5" customHeight="1" x14ac:dyDescent="0.25">
      <c r="B161" s="5"/>
      <c r="C161" s="422" t="s">
        <v>342</v>
      </c>
      <c r="D161" s="423" t="s">
        <v>342</v>
      </c>
      <c r="E161" s="423" t="s">
        <v>342</v>
      </c>
      <c r="F161" s="424" t="s">
        <v>342</v>
      </c>
      <c r="G161" s="216">
        <v>6</v>
      </c>
      <c r="H161" s="216">
        <v>6</v>
      </c>
      <c r="I161" s="215">
        <v>0.25</v>
      </c>
      <c r="J161" s="215">
        <v>10</v>
      </c>
      <c r="K161" s="160"/>
      <c r="L161" s="160"/>
      <c r="M161" s="160"/>
      <c r="N161" s="160"/>
      <c r="O161" s="160"/>
      <c r="P161" s="160"/>
      <c r="Q161" s="7"/>
    </row>
    <row r="162" spans="2:17" ht="18.649999999999999" customHeight="1" x14ac:dyDescent="0.25">
      <c r="B162" s="5"/>
      <c r="C162" s="422" t="s">
        <v>343</v>
      </c>
      <c r="D162" s="423" t="s">
        <v>343</v>
      </c>
      <c r="E162" s="423" t="s">
        <v>343</v>
      </c>
      <c r="F162" s="424" t="s">
        <v>343</v>
      </c>
      <c r="G162" s="216">
        <v>6</v>
      </c>
      <c r="H162" s="216">
        <v>6</v>
      </c>
      <c r="I162" s="215">
        <v>0.25</v>
      </c>
      <c r="J162" s="215">
        <v>10</v>
      </c>
      <c r="K162" s="160"/>
      <c r="L162" s="160"/>
      <c r="M162" s="160"/>
      <c r="N162" s="160"/>
      <c r="O162" s="160"/>
      <c r="P162" s="160"/>
      <c r="Q162" s="7"/>
    </row>
    <row r="163" spans="2:17" ht="31" customHeight="1" x14ac:dyDescent="0.25">
      <c r="B163" s="5"/>
      <c r="C163" s="419" t="s">
        <v>344</v>
      </c>
      <c r="D163" s="420" t="s">
        <v>344</v>
      </c>
      <c r="E163" s="420" t="s">
        <v>344</v>
      </c>
      <c r="F163" s="421" t="s">
        <v>344</v>
      </c>
      <c r="G163" s="215">
        <v>2</v>
      </c>
      <c r="H163" s="215">
        <v>2</v>
      </c>
      <c r="I163" s="215">
        <v>0.25</v>
      </c>
      <c r="J163" s="215">
        <v>10</v>
      </c>
      <c r="K163" s="160"/>
      <c r="L163" s="160"/>
      <c r="M163" s="160"/>
      <c r="N163" s="160"/>
      <c r="O163" s="160"/>
      <c r="P163" s="160"/>
      <c r="Q163" s="7"/>
    </row>
    <row r="164" spans="2:17" ht="17.149999999999999" customHeight="1" x14ac:dyDescent="0.25">
      <c r="B164" s="5"/>
      <c r="C164" s="462" t="s">
        <v>345</v>
      </c>
      <c r="D164" s="462" t="s">
        <v>345</v>
      </c>
      <c r="E164" s="462" t="s">
        <v>345</v>
      </c>
      <c r="F164" s="462" t="s">
        <v>345</v>
      </c>
      <c r="G164" s="216">
        <v>6</v>
      </c>
      <c r="H164" s="216">
        <v>6</v>
      </c>
      <c r="I164" s="215">
        <v>0.25</v>
      </c>
      <c r="J164" s="215">
        <v>10</v>
      </c>
      <c r="K164" s="160"/>
      <c r="L164" s="160"/>
      <c r="M164" s="160"/>
      <c r="N164" s="160"/>
      <c r="O164" s="160"/>
      <c r="P164" s="160"/>
      <c r="Q164" s="7"/>
    </row>
    <row r="165" spans="2:17" ht="17.149999999999999" customHeight="1" x14ac:dyDescent="0.25">
      <c r="B165" s="5"/>
      <c r="C165" s="463" t="s">
        <v>346</v>
      </c>
      <c r="D165" s="463" t="s">
        <v>346</v>
      </c>
      <c r="E165" s="463" t="s">
        <v>346</v>
      </c>
      <c r="F165" s="463" t="s">
        <v>346</v>
      </c>
      <c r="G165" s="215">
        <v>5</v>
      </c>
      <c r="H165" s="215">
        <v>0.4</v>
      </c>
      <c r="I165" s="215">
        <v>0.25</v>
      </c>
      <c r="J165" s="215">
        <v>10</v>
      </c>
      <c r="K165" s="160"/>
      <c r="L165" s="160"/>
      <c r="M165" s="160"/>
      <c r="N165" s="160"/>
      <c r="O165" s="160"/>
      <c r="P165" s="160"/>
      <c r="Q165" s="7"/>
    </row>
    <row r="166" spans="2:17" ht="18.649999999999999" customHeight="1" x14ac:dyDescent="0.25">
      <c r="B166" s="5"/>
      <c r="C166" s="462" t="s">
        <v>347</v>
      </c>
      <c r="D166" s="462" t="s">
        <v>347</v>
      </c>
      <c r="E166" s="462" t="s">
        <v>347</v>
      </c>
      <c r="F166" s="462" t="s">
        <v>347</v>
      </c>
      <c r="G166" s="216">
        <v>6</v>
      </c>
      <c r="H166" s="216">
        <v>6</v>
      </c>
      <c r="I166" s="215">
        <v>0.25</v>
      </c>
      <c r="J166" s="215">
        <v>10</v>
      </c>
      <c r="K166" s="160"/>
      <c r="L166" s="160"/>
      <c r="M166" s="160"/>
      <c r="N166" s="160"/>
      <c r="O166" s="160"/>
      <c r="P166" s="160"/>
      <c r="Q166" s="7"/>
    </row>
    <row r="167" spans="2:17" ht="18.649999999999999" customHeight="1" x14ac:dyDescent="0.25">
      <c r="B167" s="5"/>
      <c r="C167" s="462" t="s">
        <v>348</v>
      </c>
      <c r="D167" s="462" t="s">
        <v>348</v>
      </c>
      <c r="E167" s="462" t="s">
        <v>348</v>
      </c>
      <c r="F167" s="462" t="s">
        <v>348</v>
      </c>
      <c r="G167" s="216">
        <v>6</v>
      </c>
      <c r="H167" s="216">
        <v>6</v>
      </c>
      <c r="I167" s="215">
        <v>0.25</v>
      </c>
      <c r="J167" s="215">
        <v>10</v>
      </c>
      <c r="K167" s="160"/>
      <c r="L167" s="160"/>
      <c r="M167" s="160"/>
      <c r="N167" s="160"/>
      <c r="O167" s="160"/>
      <c r="P167" s="160"/>
      <c r="Q167" s="7"/>
    </row>
    <row r="168" spans="2:17" ht="18.649999999999999" customHeight="1" x14ac:dyDescent="0.25">
      <c r="B168" s="5"/>
      <c r="C168" s="422" t="s">
        <v>349</v>
      </c>
      <c r="D168" s="423" t="s">
        <v>349</v>
      </c>
      <c r="E168" s="423" t="s">
        <v>349</v>
      </c>
      <c r="F168" s="424" t="s">
        <v>349</v>
      </c>
      <c r="G168" s="216">
        <v>6</v>
      </c>
      <c r="H168" s="216">
        <v>6</v>
      </c>
      <c r="I168" s="215">
        <v>0.25</v>
      </c>
      <c r="J168" s="215">
        <v>10</v>
      </c>
      <c r="K168" s="160"/>
      <c r="L168" s="160"/>
      <c r="M168" s="160"/>
      <c r="N168" s="160"/>
      <c r="O168" s="160"/>
      <c r="P168" s="160"/>
      <c r="Q168" s="7"/>
    </row>
    <row r="169" spans="2:17" ht="18.649999999999999" customHeight="1" x14ac:dyDescent="0.25">
      <c r="B169" s="5"/>
      <c r="C169" s="422" t="s">
        <v>350</v>
      </c>
      <c r="D169" s="423" t="s">
        <v>350</v>
      </c>
      <c r="E169" s="423" t="s">
        <v>350</v>
      </c>
      <c r="F169" s="424" t="s">
        <v>350</v>
      </c>
      <c r="G169" s="216">
        <v>6</v>
      </c>
      <c r="H169" s="216">
        <v>6</v>
      </c>
      <c r="I169" s="215">
        <v>0.25</v>
      </c>
      <c r="J169" s="215">
        <v>10</v>
      </c>
      <c r="K169" s="160"/>
      <c r="L169" s="160"/>
      <c r="M169" s="160"/>
      <c r="N169" s="160"/>
      <c r="O169" s="160"/>
      <c r="P169" s="160"/>
      <c r="Q169" s="7"/>
    </row>
    <row r="170" spans="2:17" ht="18.649999999999999" customHeight="1" x14ac:dyDescent="0.25">
      <c r="B170" s="5"/>
      <c r="C170" s="422" t="s">
        <v>351</v>
      </c>
      <c r="D170" s="423" t="s">
        <v>351</v>
      </c>
      <c r="E170" s="423" t="s">
        <v>351</v>
      </c>
      <c r="F170" s="424" t="s">
        <v>351</v>
      </c>
      <c r="G170" s="216">
        <v>6</v>
      </c>
      <c r="H170" s="216">
        <v>6</v>
      </c>
      <c r="I170" s="215">
        <v>0.25</v>
      </c>
      <c r="J170" s="215">
        <v>10</v>
      </c>
      <c r="K170" s="160"/>
      <c r="L170" s="160"/>
      <c r="M170" s="160"/>
      <c r="N170" s="160"/>
      <c r="O170" s="160"/>
      <c r="P170" s="160"/>
      <c r="Q170" s="7"/>
    </row>
    <row r="171" spans="2:17" ht="18.649999999999999" customHeight="1" x14ac:dyDescent="0.25">
      <c r="B171" s="5"/>
      <c r="C171" s="422" t="s">
        <v>352</v>
      </c>
      <c r="D171" s="423" t="s">
        <v>352</v>
      </c>
      <c r="E171" s="423" t="s">
        <v>352</v>
      </c>
      <c r="F171" s="424" t="s">
        <v>352</v>
      </c>
      <c r="G171" s="216">
        <v>6</v>
      </c>
      <c r="H171" s="216">
        <v>6</v>
      </c>
      <c r="I171" s="215">
        <v>0.25</v>
      </c>
      <c r="J171" s="215">
        <v>10</v>
      </c>
      <c r="K171" s="160"/>
      <c r="L171" s="160"/>
      <c r="M171" s="160"/>
      <c r="N171" s="160"/>
      <c r="O171" s="160"/>
      <c r="P171" s="160"/>
      <c r="Q171" s="7"/>
    </row>
    <row r="172" spans="2:17" ht="29" customHeight="1" x14ac:dyDescent="0.25">
      <c r="B172" s="5"/>
      <c r="C172" s="463" t="s">
        <v>353</v>
      </c>
      <c r="D172" s="463" t="s">
        <v>353</v>
      </c>
      <c r="E172" s="463" t="s">
        <v>353</v>
      </c>
      <c r="F172" s="463" t="s">
        <v>353</v>
      </c>
      <c r="G172" s="215">
        <v>1</v>
      </c>
      <c r="H172" s="215">
        <v>1</v>
      </c>
      <c r="I172" s="215">
        <v>0.25</v>
      </c>
      <c r="J172" s="215">
        <v>10</v>
      </c>
      <c r="K172" s="160"/>
      <c r="L172" s="160"/>
      <c r="M172" s="160"/>
      <c r="N172" s="160"/>
      <c r="O172" s="160"/>
      <c r="P172" s="160"/>
      <c r="Q172" s="7"/>
    </row>
    <row r="173" spans="2:17" ht="20.5" customHeight="1" x14ac:dyDescent="0.25">
      <c r="B173" s="5"/>
      <c r="C173" s="464" t="s">
        <v>354</v>
      </c>
      <c r="D173" s="464" t="s">
        <v>354</v>
      </c>
      <c r="E173" s="464" t="s">
        <v>354</v>
      </c>
      <c r="F173" s="464" t="s">
        <v>354</v>
      </c>
      <c r="G173" s="414">
        <v>0.5</v>
      </c>
      <c r="H173" s="414">
        <v>0.5</v>
      </c>
      <c r="I173" s="215">
        <v>0.25</v>
      </c>
      <c r="J173" s="215">
        <v>10</v>
      </c>
      <c r="K173" s="160"/>
      <c r="L173" s="160"/>
      <c r="M173" s="160"/>
      <c r="N173" s="160"/>
      <c r="O173" s="160"/>
      <c r="P173" s="160"/>
      <c r="Q173" s="7"/>
    </row>
    <row r="174" spans="2:17" ht="19" customHeight="1" x14ac:dyDescent="0.25">
      <c r="B174" s="5"/>
      <c r="C174" s="446"/>
      <c r="D174" s="446"/>
      <c r="E174" s="446"/>
      <c r="F174" s="446"/>
      <c r="G174" s="446"/>
      <c r="H174" s="446"/>
      <c r="I174" s="160"/>
      <c r="J174" s="160"/>
      <c r="K174" s="160"/>
      <c r="L174" s="160"/>
      <c r="M174" s="160"/>
      <c r="N174" s="160"/>
      <c r="O174" s="160"/>
      <c r="P174" s="160"/>
      <c r="Q174" s="7"/>
    </row>
    <row r="175" spans="2:17" ht="16.5" customHeight="1" x14ac:dyDescent="0.25">
      <c r="B175" s="5"/>
      <c r="C175" s="437" t="s">
        <v>125</v>
      </c>
      <c r="D175" s="437"/>
      <c r="E175" s="437"/>
      <c r="F175" s="217"/>
      <c r="G175" s="217"/>
      <c r="H175" s="217"/>
      <c r="I175" s="217"/>
      <c r="J175" s="217"/>
      <c r="K175" s="217"/>
      <c r="L175" s="217"/>
      <c r="M175" s="217"/>
      <c r="N175" s="217"/>
      <c r="O175" s="217"/>
      <c r="P175" s="217"/>
      <c r="Q175" s="7"/>
    </row>
    <row r="176" spans="2:17" ht="56" customHeight="1" x14ac:dyDescent="0.25">
      <c r="B176" s="5"/>
      <c r="C176" s="442" t="s">
        <v>587</v>
      </c>
      <c r="D176" s="442"/>
      <c r="E176" s="442"/>
      <c r="F176" s="442"/>
      <c r="G176" s="442"/>
      <c r="H176" s="442"/>
      <c r="I176" s="442"/>
      <c r="J176" s="442"/>
      <c r="K176" s="442"/>
      <c r="L176" s="442"/>
      <c r="M176" s="442"/>
      <c r="N176" s="442"/>
      <c r="O176" s="442"/>
      <c r="P176" s="442"/>
      <c r="Q176" s="7"/>
    </row>
    <row r="177" spans="2:19" ht="18" customHeight="1" x14ac:dyDescent="0.25">
      <c r="B177" s="5"/>
      <c r="C177" s="438" t="s">
        <v>588</v>
      </c>
      <c r="D177" s="438"/>
      <c r="E177" s="438"/>
      <c r="F177" s="438"/>
      <c r="G177" s="438"/>
      <c r="H177" s="438"/>
      <c r="I177" s="438"/>
      <c r="J177" s="438"/>
      <c r="K177" s="438"/>
      <c r="L177" s="438"/>
      <c r="M177" s="438"/>
      <c r="N177" s="438"/>
      <c r="O177" s="438"/>
      <c r="P177" s="438"/>
      <c r="Q177" s="7"/>
    </row>
    <row r="178" spans="2:19" ht="18" customHeight="1" x14ac:dyDescent="0.25">
      <c r="B178" s="5"/>
      <c r="C178" s="439" t="s">
        <v>590</v>
      </c>
      <c r="D178" s="439"/>
      <c r="E178" s="439"/>
      <c r="F178" s="439"/>
      <c r="G178" s="439"/>
      <c r="H178" s="439"/>
      <c r="I178" s="439"/>
      <c r="J178" s="439"/>
      <c r="K178" s="439"/>
      <c r="L178" s="439"/>
      <c r="M178" s="439"/>
      <c r="N178" s="439"/>
      <c r="O178" s="439"/>
      <c r="P178" s="439"/>
      <c r="Q178" s="7"/>
    </row>
    <row r="179" spans="2:19" ht="18" customHeight="1" x14ac:dyDescent="0.25">
      <c r="B179" s="5"/>
      <c r="C179" s="439" t="s">
        <v>589</v>
      </c>
      <c r="D179" s="439"/>
      <c r="E179" s="439"/>
      <c r="F179" s="439"/>
      <c r="G179" s="439"/>
      <c r="H179" s="439"/>
      <c r="I179" s="439"/>
      <c r="J179" s="439"/>
      <c r="K179" s="439"/>
      <c r="L179" s="439"/>
      <c r="M179" s="439"/>
      <c r="N179" s="439"/>
      <c r="O179" s="439"/>
      <c r="P179" s="439"/>
      <c r="Q179" s="7"/>
    </row>
    <row r="180" spans="2:19" ht="18" customHeight="1" x14ac:dyDescent="0.25">
      <c r="B180" s="5"/>
      <c r="C180" s="439" t="s">
        <v>591</v>
      </c>
      <c r="D180" s="439"/>
      <c r="E180" s="439"/>
      <c r="F180" s="439"/>
      <c r="G180" s="439"/>
      <c r="H180" s="439"/>
      <c r="I180" s="439"/>
      <c r="J180" s="439"/>
      <c r="K180" s="439"/>
      <c r="L180" s="439"/>
      <c r="M180" s="439"/>
      <c r="N180" s="439"/>
      <c r="O180" s="439"/>
      <c r="P180" s="439"/>
      <c r="Q180" s="7"/>
    </row>
    <row r="181" spans="2:19" ht="21" customHeight="1" x14ac:dyDescent="0.25">
      <c r="B181" s="5"/>
      <c r="C181" s="425" t="s">
        <v>138</v>
      </c>
      <c r="D181" s="425"/>
      <c r="E181" s="425"/>
      <c r="F181" s="425"/>
      <c r="G181" s="425"/>
      <c r="H181" s="425"/>
      <c r="I181" s="425"/>
      <c r="J181" s="425"/>
      <c r="K181" s="425"/>
      <c r="L181" s="425"/>
      <c r="M181" s="425"/>
      <c r="N181" s="425"/>
      <c r="O181" s="425"/>
      <c r="P181" s="425"/>
      <c r="Q181" s="7"/>
    </row>
    <row r="182" spans="2:19" ht="8.15" customHeight="1" x14ac:dyDescent="0.25">
      <c r="B182" s="5"/>
      <c r="C182" s="218"/>
      <c r="D182" s="218"/>
      <c r="E182" s="218"/>
      <c r="F182" s="218"/>
      <c r="G182" s="218"/>
      <c r="H182" s="218"/>
      <c r="I182" s="218"/>
      <c r="J182" s="218"/>
      <c r="K182" s="218"/>
      <c r="L182" s="218"/>
      <c r="M182" s="218"/>
      <c r="N182" s="218"/>
      <c r="O182" s="218"/>
      <c r="P182" s="218"/>
      <c r="Q182" s="7"/>
    </row>
    <row r="183" spans="2:19" ht="28" customHeight="1" x14ac:dyDescent="0.25">
      <c r="B183" s="5"/>
      <c r="C183" s="441" t="s">
        <v>78</v>
      </c>
      <c r="D183" s="441"/>
      <c r="E183" s="441"/>
      <c r="F183" s="441"/>
      <c r="G183" s="441"/>
      <c r="H183" s="474"/>
      <c r="I183" s="440" t="s">
        <v>356</v>
      </c>
      <c r="J183" s="441"/>
      <c r="K183" s="441"/>
      <c r="L183" s="441"/>
      <c r="M183" s="441"/>
      <c r="N183" s="440" t="s">
        <v>355</v>
      </c>
      <c r="O183" s="441"/>
      <c r="P183" s="441"/>
      <c r="Q183" s="7"/>
      <c r="R183" s="16"/>
      <c r="S183" s="16"/>
    </row>
    <row r="184" spans="2:19" ht="14.15" customHeight="1" x14ac:dyDescent="0.25">
      <c r="B184" s="5"/>
      <c r="C184" s="160" t="s">
        <v>94</v>
      </c>
      <c r="D184" s="160" t="s">
        <v>95</v>
      </c>
      <c r="E184" s="435" t="s">
        <v>96</v>
      </c>
      <c r="F184" s="435"/>
      <c r="G184" s="435"/>
      <c r="H184" s="436"/>
      <c r="I184" s="160" t="s">
        <v>94</v>
      </c>
      <c r="J184" s="160" t="s">
        <v>95</v>
      </c>
      <c r="K184" s="435" t="s">
        <v>96</v>
      </c>
      <c r="L184" s="435"/>
      <c r="M184" s="436"/>
      <c r="N184" s="160" t="s">
        <v>357</v>
      </c>
      <c r="O184" s="160" t="s">
        <v>95</v>
      </c>
      <c r="P184" s="160" t="s">
        <v>96</v>
      </c>
      <c r="Q184" s="7"/>
      <c r="R184" s="16"/>
      <c r="S184" s="16"/>
    </row>
    <row r="185" spans="2:19" ht="13" customHeight="1" x14ac:dyDescent="0.25">
      <c r="B185" s="5"/>
      <c r="C185" s="219"/>
      <c r="D185" s="162">
        <v>3</v>
      </c>
      <c r="E185" s="425" t="s">
        <v>99</v>
      </c>
      <c r="F185" s="425"/>
      <c r="G185" s="425"/>
      <c r="H185" s="445"/>
      <c r="I185" s="220"/>
      <c r="J185" s="162">
        <v>1</v>
      </c>
      <c r="K185" s="443" t="s">
        <v>97</v>
      </c>
      <c r="L185" s="443"/>
      <c r="M185" s="444"/>
      <c r="N185" s="221"/>
      <c r="O185" s="162">
        <v>17</v>
      </c>
      <c r="P185" s="160" t="s">
        <v>113</v>
      </c>
      <c r="Q185" s="82"/>
      <c r="R185" s="79"/>
      <c r="S185" s="16"/>
    </row>
    <row r="186" spans="2:19" ht="14.5" customHeight="1" x14ac:dyDescent="0.25">
      <c r="B186" s="5"/>
      <c r="C186" s="222"/>
      <c r="D186" s="162">
        <v>4</v>
      </c>
      <c r="E186" s="425" t="s">
        <v>100</v>
      </c>
      <c r="F186" s="425"/>
      <c r="G186" s="425"/>
      <c r="H186" s="445"/>
      <c r="I186" s="223"/>
      <c r="J186" s="162">
        <v>2</v>
      </c>
      <c r="K186" s="443" t="s">
        <v>98</v>
      </c>
      <c r="L186" s="443"/>
      <c r="M186" s="444"/>
      <c r="N186" s="224"/>
      <c r="O186" s="162">
        <v>18</v>
      </c>
      <c r="P186" s="160" t="s">
        <v>114</v>
      </c>
      <c r="Q186" s="82"/>
      <c r="R186" s="79"/>
      <c r="S186" s="16"/>
    </row>
    <row r="187" spans="2:19" ht="15.65" customHeight="1" x14ac:dyDescent="0.25">
      <c r="B187" s="5"/>
      <c r="C187" s="225"/>
      <c r="D187" s="162">
        <v>5</v>
      </c>
      <c r="E187" s="425" t="s">
        <v>101</v>
      </c>
      <c r="F187" s="425"/>
      <c r="G187" s="425"/>
      <c r="H187" s="445"/>
      <c r="I187" s="226"/>
      <c r="J187" s="162">
        <v>8</v>
      </c>
      <c r="K187" s="443" t="s">
        <v>104</v>
      </c>
      <c r="L187" s="443"/>
      <c r="M187" s="444"/>
      <c r="N187" s="227"/>
      <c r="O187" s="162">
        <v>19</v>
      </c>
      <c r="P187" s="160" t="s">
        <v>115</v>
      </c>
      <c r="Q187" s="82"/>
      <c r="R187" s="79"/>
      <c r="S187" s="16"/>
    </row>
    <row r="188" spans="2:19" ht="15.65" customHeight="1" x14ac:dyDescent="0.25">
      <c r="B188" s="5"/>
      <c r="C188" s="228"/>
      <c r="D188" s="162">
        <v>6</v>
      </c>
      <c r="E188" s="425" t="s">
        <v>102</v>
      </c>
      <c r="F188" s="425"/>
      <c r="G188" s="425"/>
      <c r="H188" s="445"/>
      <c r="I188" s="229"/>
      <c r="J188" s="162">
        <v>9</v>
      </c>
      <c r="K188" s="443" t="s">
        <v>105</v>
      </c>
      <c r="L188" s="443"/>
      <c r="M188" s="444"/>
      <c r="N188" s="230"/>
      <c r="O188" s="230"/>
      <c r="P188" s="230"/>
      <c r="Q188" s="7"/>
      <c r="R188" s="16"/>
      <c r="S188" s="16"/>
    </row>
    <row r="189" spans="2:19" ht="15.5" x14ac:dyDescent="0.25">
      <c r="B189" s="5"/>
      <c r="C189" s="231"/>
      <c r="D189" s="162">
        <v>7</v>
      </c>
      <c r="E189" s="425" t="s">
        <v>103</v>
      </c>
      <c r="F189" s="425"/>
      <c r="G189" s="425"/>
      <c r="H189" s="445"/>
      <c r="I189" s="232"/>
      <c r="J189" s="161">
        <v>15</v>
      </c>
      <c r="K189" s="454" t="s">
        <v>111</v>
      </c>
      <c r="L189" s="454"/>
      <c r="M189" s="455"/>
      <c r="N189" s="56"/>
      <c r="O189" s="56"/>
      <c r="P189" s="56"/>
      <c r="Q189" s="7"/>
      <c r="R189" s="16"/>
      <c r="S189" s="16"/>
    </row>
    <row r="190" spans="2:19" ht="15" customHeight="1" x14ac:dyDescent="0.25">
      <c r="B190" s="5"/>
      <c r="C190" s="233"/>
      <c r="D190" s="162">
        <v>10</v>
      </c>
      <c r="E190" s="425" t="s">
        <v>106</v>
      </c>
      <c r="F190" s="425"/>
      <c r="G190" s="425"/>
      <c r="H190" s="445"/>
      <c r="I190" s="234"/>
      <c r="J190" s="162">
        <v>16</v>
      </c>
      <c r="K190" s="443" t="s">
        <v>112</v>
      </c>
      <c r="L190" s="443"/>
      <c r="M190" s="444"/>
      <c r="N190" s="230"/>
      <c r="O190" s="230"/>
      <c r="P190" s="230"/>
      <c r="Q190" s="7"/>
      <c r="R190" s="16"/>
      <c r="S190" s="16"/>
    </row>
    <row r="191" spans="2:19" ht="14.5" customHeight="1" x14ac:dyDescent="0.25">
      <c r="B191" s="5"/>
      <c r="C191" s="235"/>
      <c r="D191" s="162">
        <v>11</v>
      </c>
      <c r="E191" s="425" t="s">
        <v>107</v>
      </c>
      <c r="F191" s="425"/>
      <c r="G191" s="425"/>
      <c r="H191" s="445"/>
      <c r="I191" s="236"/>
      <c r="J191" s="162">
        <v>20</v>
      </c>
      <c r="K191" s="425" t="s">
        <v>116</v>
      </c>
      <c r="L191" s="425"/>
      <c r="M191" s="445"/>
      <c r="N191" s="160"/>
      <c r="O191" s="160"/>
      <c r="P191" s="160"/>
      <c r="Q191" s="7"/>
      <c r="R191" s="16"/>
      <c r="S191" s="16"/>
    </row>
    <row r="192" spans="2:19" ht="12.65" customHeight="1" x14ac:dyDescent="0.25">
      <c r="B192" s="5"/>
      <c r="C192" s="237"/>
      <c r="D192" s="162">
        <v>12</v>
      </c>
      <c r="E192" s="425" t="s">
        <v>108</v>
      </c>
      <c r="F192" s="425"/>
      <c r="G192" s="425"/>
      <c r="H192" s="445"/>
      <c r="I192" s="238"/>
      <c r="J192" s="162">
        <v>21</v>
      </c>
      <c r="K192" s="425" t="s">
        <v>117</v>
      </c>
      <c r="L192" s="425"/>
      <c r="M192" s="445"/>
      <c r="N192" s="160"/>
      <c r="O192" s="160"/>
      <c r="P192" s="160"/>
      <c r="Q192" s="7"/>
    </row>
    <row r="193" spans="2:17" ht="14.5" customHeight="1" x14ac:dyDescent="0.25">
      <c r="B193" s="5"/>
      <c r="C193" s="239"/>
      <c r="D193" s="162">
        <v>13</v>
      </c>
      <c r="E193" s="425" t="s">
        <v>109</v>
      </c>
      <c r="F193" s="425"/>
      <c r="G193" s="425"/>
      <c r="H193" s="445"/>
      <c r="I193" s="240"/>
      <c r="J193" s="162">
        <v>22</v>
      </c>
      <c r="K193" s="425" t="s">
        <v>118</v>
      </c>
      <c r="L193" s="425"/>
      <c r="M193" s="445"/>
      <c r="N193" s="160"/>
      <c r="O193" s="160"/>
      <c r="P193" s="160"/>
      <c r="Q193" s="7"/>
    </row>
    <row r="194" spans="2:17" ht="13.5" customHeight="1" x14ac:dyDescent="0.25">
      <c r="B194" s="5"/>
      <c r="C194" s="241"/>
      <c r="D194" s="162">
        <v>14</v>
      </c>
      <c r="E194" s="425" t="s">
        <v>110</v>
      </c>
      <c r="F194" s="425"/>
      <c r="G194" s="425"/>
      <c r="H194" s="445"/>
      <c r="I194" s="242"/>
      <c r="J194" s="162">
        <v>23</v>
      </c>
      <c r="K194" s="443" t="s">
        <v>119</v>
      </c>
      <c r="L194" s="443"/>
      <c r="M194" s="444"/>
      <c r="N194" s="160"/>
      <c r="O194" s="160"/>
      <c r="P194" s="160"/>
      <c r="Q194" s="7"/>
    </row>
    <row r="195" spans="2:17" ht="14.5" customHeight="1" x14ac:dyDescent="0.25">
      <c r="B195" s="5"/>
      <c r="C195" s="160"/>
      <c r="D195" s="162"/>
      <c r="E195" s="425"/>
      <c r="F195" s="425"/>
      <c r="G195" s="425"/>
      <c r="H195" s="445"/>
      <c r="I195" s="243"/>
      <c r="J195" s="162">
        <v>24</v>
      </c>
      <c r="K195" s="425" t="s">
        <v>120</v>
      </c>
      <c r="L195" s="425"/>
      <c r="M195" s="445"/>
      <c r="N195" s="160"/>
      <c r="O195" s="160"/>
      <c r="P195" s="160"/>
      <c r="Q195" s="7"/>
    </row>
    <row r="196" spans="2:17" ht="14.5" customHeight="1" x14ac:dyDescent="0.25">
      <c r="B196" s="5"/>
      <c r="C196" s="160"/>
      <c r="D196" s="162"/>
      <c r="E196" s="160"/>
      <c r="F196" s="160"/>
      <c r="G196" s="160"/>
      <c r="H196" s="244"/>
      <c r="I196" s="245"/>
      <c r="J196" s="162">
        <v>25</v>
      </c>
      <c r="K196" s="425" t="s">
        <v>121</v>
      </c>
      <c r="L196" s="425"/>
      <c r="M196" s="445"/>
      <c r="N196" s="160"/>
      <c r="O196" s="160"/>
      <c r="P196" s="160"/>
      <c r="Q196" s="7"/>
    </row>
    <row r="197" spans="2:17" ht="14.5" customHeight="1" x14ac:dyDescent="0.25">
      <c r="B197" s="5"/>
      <c r="C197" s="160"/>
      <c r="D197" s="162"/>
      <c r="E197" s="160"/>
      <c r="F197" s="160"/>
      <c r="G197" s="160"/>
      <c r="H197" s="244"/>
      <c r="I197" s="246"/>
      <c r="J197" s="162">
        <v>26</v>
      </c>
      <c r="K197" s="425" t="s">
        <v>122</v>
      </c>
      <c r="L197" s="425"/>
      <c r="M197" s="445"/>
      <c r="N197" s="230"/>
      <c r="O197" s="230"/>
      <c r="P197" s="230"/>
      <c r="Q197" s="7"/>
    </row>
    <row r="198" spans="2:17" ht="13" customHeight="1" x14ac:dyDescent="0.25">
      <c r="B198" s="5"/>
      <c r="C198" s="160"/>
      <c r="D198" s="160"/>
      <c r="E198" s="160"/>
      <c r="F198" s="160"/>
      <c r="G198" s="160"/>
      <c r="H198" s="244"/>
      <c r="I198" s="247"/>
      <c r="J198" s="162">
        <v>27</v>
      </c>
      <c r="K198" s="425" t="s">
        <v>123</v>
      </c>
      <c r="L198" s="425"/>
      <c r="M198" s="445"/>
      <c r="N198" s="160"/>
      <c r="O198" s="160"/>
      <c r="P198" s="160"/>
      <c r="Q198" s="7"/>
    </row>
    <row r="199" spans="2:17" ht="13.5" customHeight="1" x14ac:dyDescent="0.35">
      <c r="B199" s="5"/>
      <c r="C199" s="160"/>
      <c r="D199" s="160"/>
      <c r="E199" s="160"/>
      <c r="F199" s="160"/>
      <c r="G199" s="160"/>
      <c r="H199" s="160"/>
      <c r="I199" s="248"/>
      <c r="J199" s="248"/>
      <c r="K199" s="248"/>
      <c r="L199" s="248"/>
      <c r="M199" s="248"/>
      <c r="N199" s="160"/>
      <c r="O199" s="160"/>
      <c r="P199" s="160"/>
      <c r="Q199" s="7"/>
    </row>
    <row r="200" spans="2:17" ht="13.5" customHeight="1" x14ac:dyDescent="0.35">
      <c r="B200" s="5"/>
      <c r="C200" s="249"/>
      <c r="D200" s="249"/>
      <c r="E200" s="249"/>
      <c r="F200" s="249"/>
      <c r="G200" s="249"/>
      <c r="H200" s="160"/>
      <c r="I200" s="248"/>
      <c r="J200" s="248"/>
      <c r="K200" s="248"/>
      <c r="L200" s="248"/>
      <c r="M200" s="248"/>
      <c r="N200" s="160"/>
      <c r="O200" s="160"/>
      <c r="P200" s="160"/>
      <c r="Q200" s="7"/>
    </row>
    <row r="201" spans="2:17" ht="22" customHeight="1" x14ac:dyDescent="0.35">
      <c r="B201" s="5"/>
      <c r="C201" s="437" t="s">
        <v>460</v>
      </c>
      <c r="D201" s="437"/>
      <c r="E201" s="437"/>
      <c r="F201" s="437"/>
      <c r="G201" s="437"/>
      <c r="H201" s="160"/>
      <c r="I201" s="248"/>
      <c r="J201" s="248"/>
      <c r="K201" s="248"/>
      <c r="L201" s="248"/>
      <c r="M201" s="248"/>
      <c r="N201" s="160"/>
      <c r="O201" s="160"/>
      <c r="P201" s="160"/>
      <c r="Q201" s="7"/>
    </row>
    <row r="202" spans="2:17" ht="13.5" customHeight="1" x14ac:dyDescent="0.25">
      <c r="B202" s="5"/>
      <c r="C202" s="470" t="s">
        <v>462</v>
      </c>
      <c r="D202" s="470"/>
      <c r="E202" s="470"/>
      <c r="F202" s="470"/>
      <c r="G202" s="470"/>
      <c r="H202" s="470"/>
      <c r="I202" s="470"/>
      <c r="J202" s="470"/>
      <c r="K202" s="470"/>
      <c r="L202" s="470"/>
      <c r="M202" s="470"/>
      <c r="N202" s="470"/>
      <c r="O202" s="470"/>
      <c r="P202" s="470"/>
      <c r="Q202" s="7"/>
    </row>
    <row r="203" spans="2:17" ht="19.5" customHeight="1" x14ac:dyDescent="0.35">
      <c r="B203" s="5"/>
      <c r="C203" s="471" t="s">
        <v>463</v>
      </c>
      <c r="D203" s="471"/>
      <c r="E203" s="471"/>
      <c r="F203" s="471"/>
      <c r="G203" s="471"/>
      <c r="H203" s="471"/>
      <c r="I203" s="471"/>
      <c r="J203" s="471"/>
      <c r="K203" s="471"/>
      <c r="L203" s="471"/>
      <c r="M203" s="471"/>
      <c r="N203" s="471"/>
      <c r="O203" s="250"/>
      <c r="P203" s="160"/>
      <c r="Q203" s="7"/>
    </row>
    <row r="204" spans="2:17" ht="18" customHeight="1" x14ac:dyDescent="0.35">
      <c r="B204" s="5"/>
      <c r="C204" s="469" t="s">
        <v>464</v>
      </c>
      <c r="D204" s="469"/>
      <c r="E204" s="469"/>
      <c r="F204" s="469"/>
      <c r="G204" s="469"/>
      <c r="H204" s="469"/>
      <c r="I204" s="469"/>
      <c r="J204" s="469"/>
      <c r="K204" s="469"/>
      <c r="L204" s="469"/>
      <c r="M204" s="469"/>
      <c r="N204" s="469"/>
      <c r="O204" s="250"/>
      <c r="P204" s="160"/>
      <c r="Q204" s="7"/>
    </row>
    <row r="205" spans="2:17" ht="22" customHeight="1" x14ac:dyDescent="0.25">
      <c r="B205" s="5"/>
      <c r="C205" s="472" t="s">
        <v>461</v>
      </c>
      <c r="D205" s="472"/>
      <c r="E205" s="472"/>
      <c r="F205" s="472"/>
      <c r="G205" s="472"/>
      <c r="H205" s="472"/>
      <c r="I205" s="472"/>
      <c r="J205" s="472"/>
      <c r="K205" s="472"/>
      <c r="L205" s="472"/>
      <c r="M205" s="472"/>
      <c r="N205" s="472"/>
      <c r="O205" s="472"/>
      <c r="P205" s="160"/>
      <c r="Q205" s="7"/>
    </row>
    <row r="206" spans="2:17" ht="13.5" customHeight="1" x14ac:dyDescent="0.35">
      <c r="B206" s="5"/>
      <c r="C206" s="160"/>
      <c r="D206" s="160"/>
      <c r="E206" s="160"/>
      <c r="F206" s="160"/>
      <c r="G206" s="160"/>
      <c r="H206" s="160"/>
      <c r="I206" s="248"/>
      <c r="J206" s="248"/>
      <c r="K206" s="248"/>
      <c r="L206" s="248"/>
      <c r="M206" s="248"/>
      <c r="N206" s="160"/>
      <c r="O206" s="160"/>
      <c r="P206" s="160"/>
      <c r="Q206" s="7"/>
    </row>
    <row r="207" spans="2:17" ht="21" customHeight="1" x14ac:dyDescent="0.25">
      <c r="B207" s="5"/>
      <c r="C207" s="473" t="s">
        <v>468</v>
      </c>
      <c r="D207" s="473"/>
      <c r="E207" s="473"/>
      <c r="F207" s="473"/>
      <c r="G207" s="473"/>
      <c r="H207" s="473"/>
      <c r="I207" s="473"/>
      <c r="J207" s="473"/>
      <c r="K207" s="473"/>
      <c r="L207" s="473"/>
      <c r="M207" s="473"/>
      <c r="N207" s="473"/>
      <c r="O207" s="473"/>
      <c r="P207" s="160"/>
      <c r="Q207" s="7"/>
    </row>
    <row r="208" spans="2:17" ht="13.5" customHeight="1" x14ac:dyDescent="0.35">
      <c r="B208" s="5"/>
      <c r="C208" s="470" t="s">
        <v>469</v>
      </c>
      <c r="D208" s="470"/>
      <c r="E208" s="470"/>
      <c r="F208" s="470"/>
      <c r="G208" s="470"/>
      <c r="H208" s="470"/>
      <c r="I208" s="470"/>
      <c r="J208" s="470"/>
      <c r="K208" s="470"/>
      <c r="L208" s="470"/>
      <c r="M208" s="470"/>
      <c r="N208" s="251"/>
      <c r="O208" s="250"/>
      <c r="P208" s="160"/>
      <c r="Q208" s="7"/>
    </row>
    <row r="209" spans="2:17" ht="18" customHeight="1" x14ac:dyDescent="0.35">
      <c r="B209" s="5"/>
      <c r="C209" s="468" t="s">
        <v>465</v>
      </c>
      <c r="D209" s="468"/>
      <c r="E209" s="468"/>
      <c r="F209" s="468"/>
      <c r="G209" s="468"/>
      <c r="H209" s="468"/>
      <c r="I209" s="468"/>
      <c r="J209" s="468"/>
      <c r="K209" s="468"/>
      <c r="L209" s="468"/>
      <c r="M209" s="468"/>
      <c r="N209" s="468"/>
      <c r="O209" s="250"/>
      <c r="P209" s="160"/>
      <c r="Q209" s="7"/>
    </row>
    <row r="210" spans="2:17" ht="13.5" customHeight="1" x14ac:dyDescent="0.35">
      <c r="B210" s="5"/>
      <c r="C210" s="469" t="s">
        <v>466</v>
      </c>
      <c r="D210" s="469"/>
      <c r="E210" s="469"/>
      <c r="F210" s="469"/>
      <c r="G210" s="469"/>
      <c r="H210" s="469"/>
      <c r="I210" s="469"/>
      <c r="J210" s="469"/>
      <c r="K210" s="469"/>
      <c r="L210" s="469"/>
      <c r="M210" s="469"/>
      <c r="N210" s="469"/>
      <c r="O210" s="250"/>
      <c r="P210" s="160"/>
      <c r="Q210" s="7"/>
    </row>
    <row r="211" spans="2:17" ht="16.5" customHeight="1" x14ac:dyDescent="0.35">
      <c r="B211" s="5"/>
      <c r="C211" s="468" t="s">
        <v>467</v>
      </c>
      <c r="D211" s="468"/>
      <c r="E211" s="468"/>
      <c r="F211" s="468"/>
      <c r="G211" s="468"/>
      <c r="H211" s="468"/>
      <c r="I211" s="468"/>
      <c r="J211" s="468"/>
      <c r="K211" s="468"/>
      <c r="L211" s="468"/>
      <c r="M211" s="468"/>
      <c r="N211" s="468"/>
      <c r="O211" s="250"/>
      <c r="P211" s="160"/>
      <c r="Q211" s="7"/>
    </row>
    <row r="212" spans="2:17" ht="13.5" customHeight="1" x14ac:dyDescent="0.35">
      <c r="B212" s="5"/>
      <c r="C212" s="160"/>
      <c r="D212" s="160"/>
      <c r="E212" s="160"/>
      <c r="F212" s="160"/>
      <c r="G212" s="160"/>
      <c r="H212" s="160"/>
      <c r="I212" s="248"/>
      <c r="J212" s="248"/>
      <c r="K212" s="248"/>
      <c r="L212" s="248"/>
      <c r="M212" s="248"/>
      <c r="N212" s="160"/>
      <c r="O212" s="160"/>
      <c r="P212" s="160"/>
      <c r="Q212" s="7"/>
    </row>
    <row r="213" spans="2:17" ht="13.5" customHeight="1" x14ac:dyDescent="0.35">
      <c r="B213" s="5"/>
      <c r="C213" s="160"/>
      <c r="D213" s="160"/>
      <c r="E213" s="160"/>
      <c r="F213" s="160"/>
      <c r="G213" s="160"/>
      <c r="H213" s="160"/>
      <c r="I213" s="248"/>
      <c r="J213" s="248"/>
      <c r="K213" s="248"/>
      <c r="L213" s="248"/>
      <c r="M213" s="248"/>
      <c r="N213" s="160"/>
      <c r="O213" s="160"/>
      <c r="P213" s="160"/>
      <c r="Q213" s="7"/>
    </row>
    <row r="214" spans="2:17" ht="5.25" customHeight="1" x14ac:dyDescent="0.25">
      <c r="B214" s="5"/>
      <c r="C214" s="160"/>
      <c r="D214" s="160"/>
      <c r="E214" s="160"/>
      <c r="F214" s="160"/>
      <c r="G214" s="160"/>
      <c r="H214" s="160"/>
      <c r="I214" s="160"/>
      <c r="J214" s="162"/>
      <c r="K214" s="160"/>
      <c r="L214" s="160"/>
      <c r="M214" s="160"/>
      <c r="N214" s="160"/>
      <c r="O214" s="160"/>
      <c r="P214" s="160"/>
      <c r="Q214" s="7"/>
    </row>
    <row r="215" spans="2:17" ht="5.25" customHeight="1" x14ac:dyDescent="0.25">
      <c r="B215" s="5"/>
      <c r="C215" s="56"/>
      <c r="D215" s="56"/>
      <c r="E215" s="56"/>
      <c r="F215" s="56"/>
      <c r="G215" s="56"/>
      <c r="H215" s="56"/>
      <c r="I215" s="56"/>
      <c r="J215" s="56"/>
      <c r="K215" s="56"/>
      <c r="L215" s="56"/>
      <c r="M215" s="56"/>
      <c r="N215" s="56"/>
      <c r="O215" s="56"/>
      <c r="P215" s="56"/>
      <c r="Q215" s="7"/>
    </row>
    <row r="216" spans="2:17" ht="82.5" customHeight="1" x14ac:dyDescent="0.35">
      <c r="B216" s="5"/>
      <c r="C216" s="252"/>
      <c r="D216" s="230"/>
      <c r="E216" s="230"/>
      <c r="F216" s="230"/>
      <c r="G216" s="230"/>
      <c r="H216" s="428" t="s">
        <v>605</v>
      </c>
      <c r="I216" s="428"/>
      <c r="J216" s="428"/>
      <c r="K216" s="428"/>
      <c r="L216" s="428"/>
      <c r="M216" s="428"/>
      <c r="N216" s="428"/>
      <c r="O216" s="428"/>
      <c r="P216" s="428"/>
      <c r="Q216" s="7"/>
    </row>
    <row r="217" spans="2:17" ht="4.5" customHeight="1" x14ac:dyDescent="0.25">
      <c r="B217" s="5"/>
      <c r="C217" s="13"/>
      <c r="D217" s="13"/>
      <c r="E217" s="13"/>
      <c r="F217" s="13"/>
      <c r="G217" s="13"/>
      <c r="H217" s="13"/>
      <c r="I217" s="13"/>
      <c r="J217" s="13"/>
      <c r="K217" s="13"/>
      <c r="L217" s="13"/>
      <c r="M217" s="13"/>
      <c r="N217" s="13"/>
      <c r="O217" s="13"/>
      <c r="P217" s="13"/>
      <c r="Q217" s="7"/>
    </row>
    <row r="218" spans="2:17" ht="5.25" customHeight="1" x14ac:dyDescent="0.25">
      <c r="B218" s="5"/>
      <c r="C218" s="13"/>
      <c r="D218" s="13"/>
      <c r="E218" s="13"/>
      <c r="F218" s="13"/>
      <c r="G218" s="13"/>
      <c r="H218" s="13"/>
      <c r="I218" s="13"/>
      <c r="J218" s="13"/>
      <c r="K218" s="13"/>
      <c r="L218" s="13"/>
      <c r="M218" s="13"/>
      <c r="N218" s="13"/>
      <c r="O218" s="13"/>
      <c r="P218" s="13"/>
      <c r="Q218" s="7"/>
    </row>
    <row r="219" spans="2:17" ht="3.75" customHeight="1" thickBot="1" x14ac:dyDescent="0.3">
      <c r="B219" s="8"/>
      <c r="C219" s="9"/>
      <c r="D219" s="9"/>
      <c r="E219" s="9"/>
      <c r="F219" s="9"/>
      <c r="G219" s="9"/>
      <c r="H219" s="9"/>
      <c r="I219" s="9"/>
      <c r="J219" s="9"/>
      <c r="K219" s="9"/>
      <c r="L219" s="9"/>
      <c r="M219" s="9"/>
      <c r="N219" s="9"/>
      <c r="O219" s="9"/>
      <c r="P219" s="9"/>
      <c r="Q219" s="10"/>
    </row>
  </sheetData>
  <sheetProtection algorithmName="SHA-512" hashValue="TtK98fx95vYWcRS2zMNH43ZZbTQitJMVBq3M5LR0n8jsCQXHtIuPNmhoj1k58eTBaWXsFa/AJonFxtCFQLS7Kw==" saltValue="ZMvO9fOJz+vKp7HnlbwIFg==" spinCount="100000" sheet="1" objects="1" scenarios="1" selectLockedCells="1"/>
  <mergeCells count="212">
    <mergeCell ref="C209:N209"/>
    <mergeCell ref="C210:N210"/>
    <mergeCell ref="C211:N211"/>
    <mergeCell ref="C208:M208"/>
    <mergeCell ref="C80:F80"/>
    <mergeCell ref="C201:G201"/>
    <mergeCell ref="C203:N203"/>
    <mergeCell ref="C204:N204"/>
    <mergeCell ref="C202:P202"/>
    <mergeCell ref="C205:O205"/>
    <mergeCell ref="C207:O207"/>
    <mergeCell ref="K185:M185"/>
    <mergeCell ref="E185:H185"/>
    <mergeCell ref="E187:H187"/>
    <mergeCell ref="C183:H183"/>
    <mergeCell ref="K197:M197"/>
    <mergeCell ref="K198:M198"/>
    <mergeCell ref="K195:M195"/>
    <mergeCell ref="K196:M196"/>
    <mergeCell ref="E190:H190"/>
    <mergeCell ref="E191:H191"/>
    <mergeCell ref="E192:H192"/>
    <mergeCell ref="E193:H193"/>
    <mergeCell ref="E194:H194"/>
    <mergeCell ref="C78:F78"/>
    <mergeCell ref="C79:F79"/>
    <mergeCell ref="C69:F69"/>
    <mergeCell ref="C72:F72"/>
    <mergeCell ref="C46:D46"/>
    <mergeCell ref="C50:D50"/>
    <mergeCell ref="C54:D54"/>
    <mergeCell ref="C58:E58"/>
    <mergeCell ref="C56:P56"/>
    <mergeCell ref="G63:P63"/>
    <mergeCell ref="G64:P64"/>
    <mergeCell ref="G65:P65"/>
    <mergeCell ref="G66:P66"/>
    <mergeCell ref="C63:F63"/>
    <mergeCell ref="C64:F64"/>
    <mergeCell ref="C65:F65"/>
    <mergeCell ref="C66:F66"/>
    <mergeCell ref="C73:F73"/>
    <mergeCell ref="C74:F74"/>
    <mergeCell ref="C76:F76"/>
    <mergeCell ref="C173:F173"/>
    <mergeCell ref="C84:F84"/>
    <mergeCell ref="C81:F81"/>
    <mergeCell ref="C142:F142"/>
    <mergeCell ref="C109:F109"/>
    <mergeCell ref="C110:F110"/>
    <mergeCell ref="C111:F111"/>
    <mergeCell ref="C141:F141"/>
    <mergeCell ref="C156:F156"/>
    <mergeCell ref="C130:F130"/>
    <mergeCell ref="C131:F131"/>
    <mergeCell ref="C121:F121"/>
    <mergeCell ref="C122:F122"/>
    <mergeCell ref="K194:M194"/>
    <mergeCell ref="E195:H195"/>
    <mergeCell ref="K190:M190"/>
    <mergeCell ref="K191:M191"/>
    <mergeCell ref="K193:M193"/>
    <mergeCell ref="K189:M189"/>
    <mergeCell ref="K188:M188"/>
    <mergeCell ref="K192:M192"/>
    <mergeCell ref="C7:D7"/>
    <mergeCell ref="C24:D24"/>
    <mergeCell ref="C31:D31"/>
    <mergeCell ref="C34:D34"/>
    <mergeCell ref="E28:L28"/>
    <mergeCell ref="E29:L29"/>
    <mergeCell ref="C26:L26"/>
    <mergeCell ref="C18:M18"/>
    <mergeCell ref="C21:M21"/>
    <mergeCell ref="C22:M22"/>
    <mergeCell ref="C17:P17"/>
    <mergeCell ref="C19:P19"/>
    <mergeCell ref="C20:P20"/>
    <mergeCell ref="C13:P14"/>
    <mergeCell ref="E189:H189"/>
    <mergeCell ref="E184:H184"/>
    <mergeCell ref="K186:M186"/>
    <mergeCell ref="K187:M187"/>
    <mergeCell ref="E186:H186"/>
    <mergeCell ref="C174:H174"/>
    <mergeCell ref="E188:H188"/>
    <mergeCell ref="C59:M59"/>
    <mergeCell ref="C61:F61"/>
    <mergeCell ref="C68:F68"/>
    <mergeCell ref="C71:F71"/>
    <mergeCell ref="C67:F67"/>
    <mergeCell ref="C161:F161"/>
    <mergeCell ref="C162:F162"/>
    <mergeCell ref="C163:F163"/>
    <mergeCell ref="C143:F143"/>
    <mergeCell ref="C144:F144"/>
    <mergeCell ref="C145:F145"/>
    <mergeCell ref="C146:F146"/>
    <mergeCell ref="C147:F147"/>
    <mergeCell ref="C148:F148"/>
    <mergeCell ref="C149:F149"/>
    <mergeCell ref="C150:F150"/>
    <mergeCell ref="C151:F151"/>
    <mergeCell ref="C157:F157"/>
    <mergeCell ref="C77:F77"/>
    <mergeCell ref="K184:M184"/>
    <mergeCell ref="C175:E175"/>
    <mergeCell ref="C136:F136"/>
    <mergeCell ref="C137:F137"/>
    <mergeCell ref="C152:F152"/>
    <mergeCell ref="C153:F153"/>
    <mergeCell ref="C154:F154"/>
    <mergeCell ref="C155:F155"/>
    <mergeCell ref="C138:F138"/>
    <mergeCell ref="C139:F139"/>
    <mergeCell ref="C140:F140"/>
    <mergeCell ref="C177:P177"/>
    <mergeCell ref="C179:P179"/>
    <mergeCell ref="C178:P178"/>
    <mergeCell ref="C180:P180"/>
    <mergeCell ref="N183:P183"/>
    <mergeCell ref="C176:P176"/>
    <mergeCell ref="C168:F168"/>
    <mergeCell ref="C164:F164"/>
    <mergeCell ref="C165:F165"/>
    <mergeCell ref="I183:M183"/>
    <mergeCell ref="C166:F166"/>
    <mergeCell ref="C167:F167"/>
    <mergeCell ref="C172:F172"/>
    <mergeCell ref="C8:P8"/>
    <mergeCell ref="C9:P10"/>
    <mergeCell ref="C11:P11"/>
    <mergeCell ref="C12:P12"/>
    <mergeCell ref="C33:P33"/>
    <mergeCell ref="C36:P36"/>
    <mergeCell ref="C40:P40"/>
    <mergeCell ref="C44:P44"/>
    <mergeCell ref="C48:P48"/>
    <mergeCell ref="C38:D38"/>
    <mergeCell ref="C42:D42"/>
    <mergeCell ref="C170:F170"/>
    <mergeCell ref="G79:P79"/>
    <mergeCell ref="G80:P80"/>
    <mergeCell ref="C52:P52"/>
    <mergeCell ref="G62:P62"/>
    <mergeCell ref="G67:P67"/>
    <mergeCell ref="G81:P81"/>
    <mergeCell ref="C91:F91"/>
    <mergeCell ref="C92:F92"/>
    <mergeCell ref="C93:F93"/>
    <mergeCell ref="C94:F94"/>
    <mergeCell ref="C95:F95"/>
    <mergeCell ref="C123:F123"/>
    <mergeCell ref="C124:F124"/>
    <mergeCell ref="C125:F125"/>
    <mergeCell ref="C126:F126"/>
    <mergeCell ref="C127:F127"/>
    <mergeCell ref="C128:F128"/>
    <mergeCell ref="C82:F82"/>
    <mergeCell ref="C75:F75"/>
    <mergeCell ref="C85:J85"/>
    <mergeCell ref="C90:F90"/>
    <mergeCell ref="C70:F70"/>
    <mergeCell ref="C62:F62"/>
    <mergeCell ref="C116:F116"/>
    <mergeCell ref="C117:F117"/>
    <mergeCell ref="C118:F118"/>
    <mergeCell ref="C96:F96"/>
    <mergeCell ref="G82:P82"/>
    <mergeCell ref="G61:P61"/>
    <mergeCell ref="C97:F97"/>
    <mergeCell ref="H216:P216"/>
    <mergeCell ref="C86:P88"/>
    <mergeCell ref="G68:P68"/>
    <mergeCell ref="G69:P69"/>
    <mergeCell ref="G70:P70"/>
    <mergeCell ref="G71:P71"/>
    <mergeCell ref="G72:P72"/>
    <mergeCell ref="G73:P73"/>
    <mergeCell ref="G74:P74"/>
    <mergeCell ref="G75:P75"/>
    <mergeCell ref="G76:P76"/>
    <mergeCell ref="G77:P77"/>
    <mergeCell ref="G78:P78"/>
    <mergeCell ref="C129:F129"/>
    <mergeCell ref="C133:F133"/>
    <mergeCell ref="C134:F134"/>
    <mergeCell ref="C135:F135"/>
    <mergeCell ref="C119:F119"/>
    <mergeCell ref="C120:F120"/>
    <mergeCell ref="C132:F132"/>
    <mergeCell ref="C169:F169"/>
    <mergeCell ref="C181:P181"/>
    <mergeCell ref="C171:F171"/>
    <mergeCell ref="C98:F98"/>
    <mergeCell ref="C99:F99"/>
    <mergeCell ref="C158:F158"/>
    <mergeCell ref="C159:F159"/>
    <mergeCell ref="C160:F160"/>
    <mergeCell ref="C100:F100"/>
    <mergeCell ref="C101:F101"/>
    <mergeCell ref="C102:F102"/>
    <mergeCell ref="C103:F103"/>
    <mergeCell ref="C104:F104"/>
    <mergeCell ref="C105:F105"/>
    <mergeCell ref="C106:F106"/>
    <mergeCell ref="C107:F107"/>
    <mergeCell ref="C108:F108"/>
    <mergeCell ref="C112:F112"/>
    <mergeCell ref="C113:F113"/>
    <mergeCell ref="C114:F114"/>
    <mergeCell ref="C115:F115"/>
  </mergeCells>
  <hyperlinks>
    <hyperlink ref="C36:M36" r:id="rId1" display="https://gridreferencefinder.com/" xr:uid="{F15C9553-7F37-4BE6-80A4-B50E4FE4D238}"/>
    <hyperlink ref="C202:P202" r:id="rId2" display="a) Go to this link:  https://environment.data.gov.uk/catchment-planning/ManagementCatchment/3008" xr:uid="{443C11E4-AF5A-4503-8CDB-68D87D118C16}"/>
    <hyperlink ref="C208:M208" r:id="rId3" display="a) Go to this link: https://mapapps2.bgs.ac.uk/ukso/home.html?layers=NVZEng" xr:uid="{5CB20928-4FB0-43A0-8DF5-6B31235ED407}"/>
    <hyperlink ref="C177:P177" r:id="rId4" display="The user should use the Soilscapes tool (Cranfield soil and Agrifood institute, 2020) to determine the dominant soil type on their site. Soilscapes can be found at http://www.landis.org.uk/soilscapes/index.cfm" xr:uid="{678895F5-D3CD-40CB-93B2-A8B2B7C391D7}"/>
  </hyperlinks>
  <pageMargins left="0.7" right="0.7" top="0.75" bottom="0.75" header="0.3" footer="0.3"/>
  <pageSetup paperSize="9" scale="55" fitToWidth="0" fitToHeight="0" orientation="portrait" horizontalDpi="360" verticalDpi="360" r:id="rId5"/>
  <rowBreaks count="1" manualBreakCount="1">
    <brk id="45" max="16383" man="1"/>
  </rowBreaks>
  <colBreaks count="1" manualBreakCount="1">
    <brk id="1" max="1048575" man="1"/>
  </colBreaks>
  <customProperties>
    <customPr name="SSC_SHEET_GU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7" tint="0.79998168889431442"/>
    <pageSetUpPr fitToPage="1"/>
  </sheetPr>
  <dimension ref="A1:S17"/>
  <sheetViews>
    <sheetView zoomScale="115" zoomScaleNormal="115" workbookViewId="0"/>
  </sheetViews>
  <sheetFormatPr defaultRowHeight="12.5" x14ac:dyDescent="0.25"/>
  <cols>
    <col min="2" max="3" width="0.81640625" customWidth="1"/>
    <col min="4" max="4" width="2.1796875" customWidth="1"/>
    <col min="5" max="5" width="13.1796875" customWidth="1"/>
    <col min="6" max="6" width="8.1796875" customWidth="1"/>
    <col min="10" max="10" width="11.08984375" customWidth="1"/>
    <col min="11" max="11" width="18.1796875" customWidth="1"/>
    <col min="12" max="12" width="6.7265625" customWidth="1"/>
    <col min="13" max="13" width="16.1796875" customWidth="1"/>
    <col min="14" max="14" width="6.453125" customWidth="1"/>
    <col min="15" max="15" width="14.1796875" customWidth="1"/>
    <col min="16" max="16" width="5.7265625" customWidth="1"/>
    <col min="18" max="18" width="4.1796875" customWidth="1"/>
    <col min="19" max="19" width="0.81640625" customWidth="1"/>
  </cols>
  <sheetData>
    <row r="1" spans="1:19" ht="13.5" thickBot="1" x14ac:dyDescent="0.35">
      <c r="A1" s="46" t="s">
        <v>600</v>
      </c>
    </row>
    <row r="2" spans="1:19" ht="15.5" x14ac:dyDescent="0.3">
      <c r="B2" s="49"/>
      <c r="C2" s="383"/>
      <c r="D2" s="383"/>
      <c r="E2" s="383"/>
      <c r="F2" s="383"/>
      <c r="G2" s="383"/>
      <c r="H2" s="383"/>
      <c r="I2" s="383"/>
      <c r="J2" s="383"/>
      <c r="K2" s="383"/>
      <c r="L2" s="383"/>
      <c r="M2" s="383"/>
      <c r="N2" s="383"/>
      <c r="O2" s="383"/>
      <c r="P2" s="383"/>
      <c r="Q2" s="383"/>
      <c r="R2" s="383"/>
      <c r="S2" s="4"/>
    </row>
    <row r="3" spans="1:19" ht="37.5" customHeight="1" x14ac:dyDescent="0.3">
      <c r="B3" s="52"/>
      <c r="C3" s="76"/>
      <c r="D3" s="78"/>
      <c r="E3" s="384" t="s">
        <v>600</v>
      </c>
      <c r="F3" s="524" t="s">
        <v>539</v>
      </c>
      <c r="G3" s="524"/>
      <c r="H3" s="524"/>
      <c r="I3" s="524"/>
      <c r="J3" s="524"/>
      <c r="K3" s="524"/>
      <c r="L3" s="524"/>
      <c r="M3" s="524"/>
      <c r="N3" s="524"/>
      <c r="O3" s="524"/>
      <c r="P3" s="524"/>
      <c r="Q3" s="385"/>
      <c r="R3" s="385"/>
      <c r="S3" s="7"/>
    </row>
    <row r="4" spans="1:19" ht="15.5" x14ac:dyDescent="0.3">
      <c r="B4" s="52"/>
      <c r="C4" s="386"/>
      <c r="D4" s="386"/>
      <c r="E4" s="387"/>
      <c r="F4" s="387"/>
      <c r="G4" s="387"/>
      <c r="H4" s="387"/>
      <c r="I4" s="387"/>
      <c r="J4" s="387"/>
      <c r="K4" s="387"/>
      <c r="L4" s="387"/>
      <c r="M4" s="387"/>
      <c r="N4" s="387"/>
      <c r="O4" s="387"/>
      <c r="P4" s="387"/>
      <c r="Q4" s="387"/>
      <c r="R4" s="387"/>
      <c r="S4" s="7"/>
    </row>
    <row r="5" spans="1:19" ht="15.65" customHeight="1" x14ac:dyDescent="0.3">
      <c r="B5" s="52"/>
      <c r="C5" s="386"/>
      <c r="D5" s="386"/>
      <c r="E5" s="64" t="s">
        <v>5</v>
      </c>
      <c r="F5" s="459" t="s">
        <v>502</v>
      </c>
      <c r="G5" s="459"/>
      <c r="H5" s="459"/>
      <c r="I5" s="459"/>
      <c r="J5" s="459"/>
      <c r="K5" s="78" t="s">
        <v>537</v>
      </c>
      <c r="L5" s="78"/>
      <c r="M5" s="78" t="s">
        <v>564</v>
      </c>
      <c r="N5" s="78"/>
      <c r="O5" s="78" t="s">
        <v>49</v>
      </c>
      <c r="P5" s="387"/>
      <c r="Q5" s="387"/>
      <c r="R5" s="387"/>
      <c r="S5" s="7"/>
    </row>
    <row r="6" spans="1:19" ht="26.5" customHeight="1" x14ac:dyDescent="0.3">
      <c r="B6" s="52"/>
      <c r="C6" s="262"/>
      <c r="D6" s="262"/>
      <c r="E6" s="387"/>
      <c r="F6" s="387"/>
      <c r="G6" s="387"/>
      <c r="H6" s="387"/>
      <c r="I6" s="387"/>
      <c r="J6" s="387"/>
      <c r="K6" s="386" t="s">
        <v>2</v>
      </c>
      <c r="L6" s="386"/>
      <c r="M6" s="386" t="s">
        <v>2</v>
      </c>
      <c r="N6" s="359"/>
      <c r="O6" s="386" t="s">
        <v>2</v>
      </c>
      <c r="P6" s="386"/>
      <c r="Q6" s="386" t="s">
        <v>24</v>
      </c>
      <c r="R6" s="387"/>
      <c r="S6" s="7"/>
    </row>
    <row r="7" spans="1:19" ht="15.5" x14ac:dyDescent="0.3">
      <c r="B7" s="52"/>
      <c r="C7" s="262"/>
      <c r="D7" s="262"/>
      <c r="E7" s="388"/>
      <c r="F7" s="518" t="s">
        <v>32</v>
      </c>
      <c r="G7" s="518"/>
      <c r="H7" s="518"/>
      <c r="I7" s="518"/>
      <c r="J7" s="518"/>
      <c r="K7" s="389">
        <f>IF('Mitigation - current'!K67&gt;0,'Mitigation - current'!P67,'Mitigation - current'!K80)</f>
        <v>0</v>
      </c>
      <c r="L7" s="388"/>
      <c r="M7" s="389">
        <f>IF('Mitigation - post 2030'!K67&gt;0,'Mitigation - post 2030'!P67,'Mitigation - post 2030'!K80)</f>
        <v>0</v>
      </c>
      <c r="N7" s="388"/>
      <c r="O7" s="389">
        <f t="shared" ref="O7:O12" si="0">M7-K7</f>
        <v>0</v>
      </c>
      <c r="P7" s="388"/>
      <c r="Q7" s="390" t="s">
        <v>17</v>
      </c>
      <c r="R7" s="388"/>
      <c r="S7" s="7"/>
    </row>
    <row r="8" spans="1:19" ht="15.5" x14ac:dyDescent="0.3">
      <c r="B8" s="52"/>
      <c r="C8" s="262"/>
      <c r="D8" s="262"/>
      <c r="E8" s="64"/>
      <c r="F8" s="518" t="s">
        <v>132</v>
      </c>
      <c r="G8" s="518"/>
      <c r="H8" s="518"/>
      <c r="I8" s="518"/>
      <c r="J8" s="518"/>
      <c r="K8" s="389">
        <f>IF('Mitigation - current'!K68&gt;0,'Mitigation - current'!P68,'Mitigation - current'!K81)</f>
        <v>0</v>
      </c>
      <c r="L8" s="287"/>
      <c r="M8" s="389">
        <f>IF('Mitigation - post 2030'!K68&gt;0,'Mitigation - post 2030'!P68,'Mitigation - post 2030'!K81)</f>
        <v>0</v>
      </c>
      <c r="N8" s="287"/>
      <c r="O8" s="389">
        <f t="shared" si="0"/>
        <v>0</v>
      </c>
      <c r="P8" s="262"/>
      <c r="Q8" s="390" t="s">
        <v>17</v>
      </c>
      <c r="R8" s="262"/>
      <c r="S8" s="7"/>
    </row>
    <row r="9" spans="1:19" ht="15.5" x14ac:dyDescent="0.3">
      <c r="B9" s="52"/>
      <c r="C9" s="262"/>
      <c r="D9" s="262"/>
      <c r="E9" s="262"/>
      <c r="F9" s="518" t="s">
        <v>33</v>
      </c>
      <c r="G9" s="518"/>
      <c r="H9" s="518"/>
      <c r="I9" s="518"/>
      <c r="J9" s="518"/>
      <c r="K9" s="389">
        <f>IF('Mitigation - current'!K69&gt;0,'Mitigation - current'!P69,'Mitigation - current'!K82)</f>
        <v>0</v>
      </c>
      <c r="L9" s="391"/>
      <c r="M9" s="389">
        <f>IF('Mitigation - post 2030'!K69&gt;0,'Mitigation - post 2030'!P69,'Mitigation - post 2030'!K82)</f>
        <v>0</v>
      </c>
      <c r="N9" s="391"/>
      <c r="O9" s="389">
        <f t="shared" si="0"/>
        <v>0</v>
      </c>
      <c r="P9" s="262"/>
      <c r="Q9" s="390" t="s">
        <v>17</v>
      </c>
      <c r="R9" s="262"/>
      <c r="S9" s="7"/>
    </row>
    <row r="10" spans="1:19" ht="15.5" x14ac:dyDescent="0.3">
      <c r="B10" s="52"/>
      <c r="C10" s="262"/>
      <c r="D10" s="262"/>
      <c r="E10" s="262"/>
      <c r="F10" s="518" t="s">
        <v>34</v>
      </c>
      <c r="G10" s="518"/>
      <c r="H10" s="518"/>
      <c r="I10" s="518"/>
      <c r="J10" s="518"/>
      <c r="K10" s="389">
        <f>IF('Mitigation - current'!K70&gt;0,'Mitigation - current'!P70,'Mitigation - current'!K83)</f>
        <v>0</v>
      </c>
      <c r="L10" s="262"/>
      <c r="M10" s="389">
        <f>IF('Mitigation - post 2030'!K70&gt;0,'Mitigation - post 2030'!P70,'Mitigation - post 2030'!K83)</f>
        <v>0</v>
      </c>
      <c r="N10" s="262"/>
      <c r="O10" s="389">
        <f t="shared" si="0"/>
        <v>0</v>
      </c>
      <c r="P10" s="262"/>
      <c r="Q10" s="390" t="s">
        <v>17</v>
      </c>
      <c r="R10" s="262"/>
      <c r="S10" s="7"/>
    </row>
    <row r="11" spans="1:19" ht="15.5" x14ac:dyDescent="0.3">
      <c r="B11" s="52"/>
      <c r="C11" s="262"/>
      <c r="D11" s="262"/>
      <c r="E11" s="262"/>
      <c r="F11" s="518" t="s">
        <v>245</v>
      </c>
      <c r="G11" s="518"/>
      <c r="H11" s="518"/>
      <c r="I11" s="518"/>
      <c r="J11" s="518"/>
      <c r="K11" s="389">
        <f>IF('Mitigation - current'!K71&gt;0,'Mitigation - current'!P71,'Mitigation - current'!K84)</f>
        <v>0</v>
      </c>
      <c r="L11" s="262"/>
      <c r="M11" s="389">
        <f>IF('Mitigation - post 2030'!K71&gt;0,'Mitigation - post 2030'!P71,'Mitigation - post 2030'!K84)</f>
        <v>0</v>
      </c>
      <c r="N11" s="262"/>
      <c r="O11" s="389">
        <f t="shared" si="0"/>
        <v>0</v>
      </c>
      <c r="P11" s="262"/>
      <c r="Q11" s="390" t="s">
        <v>17</v>
      </c>
      <c r="R11" s="262"/>
      <c r="S11" s="7"/>
    </row>
    <row r="12" spans="1:19" ht="15.5" x14ac:dyDescent="0.3">
      <c r="B12" s="52"/>
      <c r="C12" s="262"/>
      <c r="D12" s="262"/>
      <c r="E12" s="262"/>
      <c r="F12" s="501" t="s">
        <v>150</v>
      </c>
      <c r="G12" s="501"/>
      <c r="H12" s="501"/>
      <c r="I12" s="501"/>
      <c r="J12" s="501"/>
      <c r="K12" s="389">
        <f>IF('Mitigation - current'!K72&gt;0,'Mitigation - current'!P72,'Mitigation - current'!K85)</f>
        <v>0</v>
      </c>
      <c r="L12" s="262"/>
      <c r="M12" s="389">
        <f>IF('Mitigation - post 2030'!K72&gt;0,'Mitigation - post 2030'!P72,'Mitigation - post 2030'!K85)</f>
        <v>0</v>
      </c>
      <c r="N12" s="262"/>
      <c r="O12" s="389">
        <f t="shared" si="0"/>
        <v>0</v>
      </c>
      <c r="P12" s="262"/>
      <c r="Q12" s="390" t="s">
        <v>17</v>
      </c>
      <c r="R12" s="262"/>
      <c r="S12" s="7"/>
    </row>
    <row r="13" spans="1:19" ht="15.5" x14ac:dyDescent="0.3">
      <c r="B13" s="52"/>
      <c r="C13" s="262"/>
      <c r="D13" s="262"/>
      <c r="E13" s="262"/>
      <c r="F13" s="262"/>
      <c r="G13" s="262"/>
      <c r="H13" s="262"/>
      <c r="I13" s="262"/>
      <c r="J13" s="262"/>
      <c r="K13" s="287"/>
      <c r="L13" s="262"/>
      <c r="M13" s="287"/>
      <c r="N13" s="262"/>
      <c r="O13" s="287"/>
      <c r="P13" s="262"/>
      <c r="Q13" s="390"/>
      <c r="R13" s="262"/>
      <c r="S13" s="7"/>
    </row>
    <row r="14" spans="1:19" ht="15.5" x14ac:dyDescent="0.3">
      <c r="B14" s="52"/>
      <c r="C14" s="262"/>
      <c r="D14" s="262"/>
      <c r="E14" s="64"/>
      <c r="F14" s="392" t="s">
        <v>64</v>
      </c>
      <c r="G14" s="262"/>
      <c r="H14" s="262"/>
      <c r="I14" s="262"/>
      <c r="J14" s="262"/>
      <c r="K14" s="393">
        <f>SUM(K7:K12)</f>
        <v>0</v>
      </c>
      <c r="L14" s="287"/>
      <c r="M14" s="393">
        <f>SUM(M7:M12)</f>
        <v>0</v>
      </c>
      <c r="N14" s="262"/>
      <c r="O14" s="393">
        <f>SUM(O7:O12)</f>
        <v>0</v>
      </c>
      <c r="P14" s="262"/>
      <c r="Q14" s="391" t="s">
        <v>17</v>
      </c>
      <c r="R14" s="262"/>
      <c r="S14" s="7"/>
    </row>
    <row r="15" spans="1:19" ht="15.5" x14ac:dyDescent="0.3">
      <c r="B15" s="52"/>
      <c r="C15" s="262"/>
      <c r="D15" s="262"/>
      <c r="E15" s="262"/>
      <c r="F15" s="262"/>
      <c r="G15" s="262"/>
      <c r="H15" s="262"/>
      <c r="I15" s="262"/>
      <c r="J15" s="262"/>
      <c r="K15" s="262"/>
      <c r="L15" s="262"/>
      <c r="M15" s="262"/>
      <c r="N15" s="262"/>
      <c r="O15" s="262"/>
      <c r="P15" s="262"/>
      <c r="Q15" s="262"/>
      <c r="R15" s="262"/>
      <c r="S15" s="7"/>
    </row>
    <row r="16" spans="1:19" ht="12.65" customHeight="1" x14ac:dyDescent="0.3">
      <c r="B16" s="52"/>
      <c r="C16" s="262"/>
      <c r="D16" s="262"/>
      <c r="E16" s="497" t="s">
        <v>538</v>
      </c>
      <c r="F16" s="497"/>
      <c r="G16" s="497"/>
      <c r="H16" s="497"/>
      <c r="I16" s="497"/>
      <c r="J16" s="497"/>
      <c r="K16" s="497"/>
      <c r="L16" s="497"/>
      <c r="M16" s="497"/>
      <c r="N16" s="497"/>
      <c r="O16" s="497"/>
      <c r="P16" s="497"/>
      <c r="Q16" s="497"/>
      <c r="R16" s="262"/>
      <c r="S16" s="7"/>
    </row>
    <row r="17" spans="2:19" ht="23" customHeight="1" thickBot="1" x14ac:dyDescent="0.35">
      <c r="B17" s="57"/>
      <c r="C17" s="369"/>
      <c r="D17" s="369"/>
      <c r="E17" s="517"/>
      <c r="F17" s="517"/>
      <c r="G17" s="517"/>
      <c r="H17" s="517"/>
      <c r="I17" s="517"/>
      <c r="J17" s="517"/>
      <c r="K17" s="517"/>
      <c r="L17" s="517"/>
      <c r="M17" s="517"/>
      <c r="N17" s="517"/>
      <c r="O17" s="517"/>
      <c r="P17" s="517"/>
      <c r="Q17" s="517"/>
      <c r="R17" s="394"/>
      <c r="S17" s="21"/>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r:id="rId1"/>
  <headerFooter>
    <oddHeader>&amp;LPhosphate Budget Calculator&amp;CStage 7</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tabColor theme="5" tint="0.79998168889431442"/>
    <pageSetUpPr fitToPage="1"/>
  </sheetPr>
  <dimension ref="A1:W69"/>
  <sheetViews>
    <sheetView zoomScaleNormal="100" workbookViewId="0">
      <selection activeCell="G11" sqref="G11"/>
    </sheetView>
  </sheetViews>
  <sheetFormatPr defaultRowHeight="12.5" x14ac:dyDescent="0.25"/>
  <cols>
    <col min="1" max="1" width="2.7265625" customWidth="1"/>
    <col min="2" max="3" width="0.81640625" customWidth="1"/>
    <col min="4" max="4" width="6.453125" hidden="1" customWidth="1"/>
    <col min="5" max="5" width="1" customWidth="1"/>
    <col min="6" max="6" width="5.54296875" customWidth="1"/>
    <col min="7" max="7" width="26" customWidth="1"/>
    <col min="10" max="10" width="8.81640625" customWidth="1"/>
    <col min="11" max="11" width="7.453125" customWidth="1"/>
    <col min="12" max="12" width="12.36328125" customWidth="1"/>
    <col min="13" max="13" width="3.26953125" customWidth="1"/>
    <col min="14" max="14" width="2.1796875" customWidth="1"/>
    <col min="15" max="15" width="8.81640625" customWidth="1"/>
    <col min="16" max="16" width="4.81640625" customWidth="1"/>
    <col min="17" max="17" width="6.54296875" customWidth="1"/>
    <col min="18" max="18" width="9.453125" customWidth="1"/>
    <col min="19" max="19" width="6.54296875" customWidth="1"/>
    <col min="20" max="20" width="9.81640625" customWidth="1"/>
    <col min="21" max="21" width="12.7265625" customWidth="1"/>
    <col min="22" max="22" width="10.1796875" customWidth="1"/>
    <col min="23" max="23" width="15.7265625" customWidth="1"/>
  </cols>
  <sheetData>
    <row r="1" spans="1:22" ht="13.5" thickBot="1" x14ac:dyDescent="0.35">
      <c r="A1" s="46" t="s">
        <v>601</v>
      </c>
    </row>
    <row r="2" spans="1:22" ht="3.65" customHeight="1" x14ac:dyDescent="0.25">
      <c r="B2" s="2"/>
      <c r="C2" s="3"/>
      <c r="D2" s="3"/>
      <c r="E2" s="3"/>
      <c r="F2" s="3"/>
      <c r="G2" s="3"/>
      <c r="H2" s="3"/>
      <c r="I2" s="3"/>
      <c r="J2" s="3"/>
      <c r="K2" s="3"/>
      <c r="L2" s="3"/>
      <c r="M2" s="3"/>
      <c r="N2" s="3"/>
      <c r="O2" s="3"/>
      <c r="P2" s="3"/>
      <c r="Q2" s="3"/>
      <c r="R2" s="3"/>
      <c r="S2" s="3"/>
      <c r="T2" s="3"/>
      <c r="U2" s="3"/>
      <c r="V2" s="4"/>
    </row>
    <row r="3" spans="1:22" ht="28.5" customHeight="1" x14ac:dyDescent="0.3">
      <c r="B3" s="5"/>
      <c r="C3" s="1"/>
      <c r="D3" s="1"/>
      <c r="E3" s="48"/>
      <c r="F3" s="514" t="s">
        <v>48</v>
      </c>
      <c r="G3" s="514"/>
      <c r="H3" s="514"/>
      <c r="I3" s="514"/>
      <c r="J3" s="514"/>
      <c r="K3" s="514"/>
      <c r="L3" s="514"/>
      <c r="M3" s="514"/>
      <c r="N3" s="514"/>
      <c r="O3" s="514"/>
      <c r="P3" s="514"/>
      <c r="Q3" s="514"/>
      <c r="R3" s="514"/>
      <c r="S3" s="514"/>
      <c r="T3" s="514"/>
      <c r="U3" s="514"/>
      <c r="V3" s="53"/>
    </row>
    <row r="4" spans="1:22" ht="2.15" customHeight="1" x14ac:dyDescent="0.35">
      <c r="B4" s="5"/>
      <c r="C4" s="12"/>
      <c r="D4" s="1"/>
      <c r="E4" s="48"/>
      <c r="F4" s="250"/>
      <c r="G4" s="250"/>
      <c r="H4" s="250"/>
      <c r="I4" s="250"/>
      <c r="J4" s="250"/>
      <c r="K4" s="250"/>
      <c r="L4" s="250"/>
      <c r="M4" s="250"/>
      <c r="N4" s="250"/>
      <c r="O4" s="250"/>
      <c r="P4" s="250"/>
      <c r="Q4" s="250"/>
      <c r="R4" s="250"/>
      <c r="S4" s="250"/>
      <c r="T4" s="250"/>
      <c r="U4" s="250"/>
      <c r="V4" s="53"/>
    </row>
    <row r="5" spans="1:22" ht="15.5" x14ac:dyDescent="0.35">
      <c r="B5" s="5"/>
      <c r="C5" s="12"/>
      <c r="D5" s="1"/>
      <c r="E5" s="48"/>
      <c r="F5" s="250"/>
      <c r="G5" s="525" t="e">
        <f>IF(AND(T15&gt;0,T15&lt;100),"Proposed development has a 'Zero' value","Proposed development does not have a 'Zero' value")</f>
        <v>#DIV/0!</v>
      </c>
      <c r="H5" s="525"/>
      <c r="I5" s="525"/>
      <c r="J5" s="525"/>
      <c r="K5" s="525"/>
      <c r="L5" s="525"/>
      <c r="M5" s="525"/>
      <c r="N5" s="525"/>
      <c r="O5" s="525"/>
      <c r="P5" s="525"/>
      <c r="Q5" s="525"/>
      <c r="R5" s="525"/>
      <c r="S5" s="525"/>
      <c r="T5" s="525"/>
      <c r="U5" s="525"/>
      <c r="V5" s="53"/>
    </row>
    <row r="6" spans="1:22" ht="24.65" customHeight="1" x14ac:dyDescent="0.35">
      <c r="B6" s="5"/>
      <c r="C6" s="6"/>
      <c r="D6" s="1"/>
      <c r="E6" s="48"/>
      <c r="F6" s="250"/>
      <c r="G6" s="525"/>
      <c r="H6" s="525"/>
      <c r="I6" s="525"/>
      <c r="J6" s="525"/>
      <c r="K6" s="525"/>
      <c r="L6" s="525"/>
      <c r="M6" s="525"/>
      <c r="N6" s="525"/>
      <c r="O6" s="525"/>
      <c r="P6" s="525"/>
      <c r="Q6" s="525"/>
      <c r="R6" s="525"/>
      <c r="S6" s="525"/>
      <c r="T6" s="525"/>
      <c r="U6" s="525"/>
      <c r="V6" s="53"/>
    </row>
    <row r="7" spans="1:22" ht="11.15" customHeight="1" x14ac:dyDescent="0.35">
      <c r="B7" s="5"/>
      <c r="C7" s="6"/>
      <c r="D7" s="1"/>
      <c r="E7" s="48"/>
      <c r="F7" s="250"/>
      <c r="G7" s="497" t="s">
        <v>543</v>
      </c>
      <c r="H7" s="497"/>
      <c r="I7" s="497"/>
      <c r="J7" s="497"/>
      <c r="K7" s="497"/>
      <c r="L7" s="497"/>
      <c r="M7" s="497"/>
      <c r="N7" s="497"/>
      <c r="O7" s="497"/>
      <c r="P7" s="497"/>
      <c r="Q7" s="497"/>
      <c r="R7" s="497"/>
      <c r="S7" s="497"/>
      <c r="T7" s="497"/>
      <c r="U7" s="497"/>
      <c r="V7" s="53"/>
    </row>
    <row r="8" spans="1:22" ht="11.15" customHeight="1" x14ac:dyDescent="0.35">
      <c r="B8" s="5"/>
      <c r="C8" s="6"/>
      <c r="D8" s="1"/>
      <c r="E8" s="48"/>
      <c r="F8" s="250"/>
      <c r="G8" s="497"/>
      <c r="H8" s="497"/>
      <c r="I8" s="497"/>
      <c r="J8" s="497"/>
      <c r="K8" s="497"/>
      <c r="L8" s="497"/>
      <c r="M8" s="497"/>
      <c r="N8" s="497"/>
      <c r="O8" s="497"/>
      <c r="P8" s="497"/>
      <c r="Q8" s="497"/>
      <c r="R8" s="497"/>
      <c r="S8" s="497"/>
      <c r="T8" s="497"/>
      <c r="U8" s="497"/>
      <c r="V8" s="53"/>
    </row>
    <row r="9" spans="1:22" ht="11.15" customHeight="1" x14ac:dyDescent="0.35">
      <c r="B9" s="5"/>
      <c r="C9" s="6"/>
      <c r="D9" s="1"/>
      <c r="E9" s="48"/>
      <c r="F9" s="250"/>
      <c r="G9" s="497"/>
      <c r="H9" s="497"/>
      <c r="I9" s="497"/>
      <c r="J9" s="497"/>
      <c r="K9" s="497"/>
      <c r="L9" s="497"/>
      <c r="M9" s="497"/>
      <c r="N9" s="497"/>
      <c r="O9" s="497"/>
      <c r="P9" s="497"/>
      <c r="Q9" s="497"/>
      <c r="R9" s="497"/>
      <c r="S9" s="497"/>
      <c r="T9" s="497"/>
      <c r="U9" s="497"/>
      <c r="V9" s="53"/>
    </row>
    <row r="10" spans="1:22" ht="12" customHeight="1" x14ac:dyDescent="0.35">
      <c r="B10" s="5"/>
      <c r="C10" s="6"/>
      <c r="D10" s="1"/>
      <c r="E10" s="48"/>
      <c r="F10" s="250"/>
      <c r="G10" s="527" t="s">
        <v>246</v>
      </c>
      <c r="H10" s="527"/>
      <c r="I10" s="527"/>
      <c r="J10" s="527"/>
      <c r="K10" s="527"/>
      <c r="L10" s="527"/>
      <c r="M10" s="527"/>
      <c r="N10" s="527"/>
      <c r="O10" s="527"/>
      <c r="P10" s="527"/>
      <c r="Q10" s="527"/>
      <c r="R10" s="527"/>
      <c r="S10" s="527"/>
      <c r="T10" s="527"/>
      <c r="U10" s="527"/>
      <c r="V10" s="53"/>
    </row>
    <row r="11" spans="1:22" ht="12" customHeight="1" x14ac:dyDescent="0.35">
      <c r="B11" s="5"/>
      <c r="C11" s="6"/>
      <c r="D11" s="1"/>
      <c r="E11" s="48"/>
      <c r="F11" s="250"/>
      <c r="G11" s="417" t="s">
        <v>247</v>
      </c>
      <c r="H11" s="354"/>
      <c r="I11" s="354"/>
      <c r="J11" s="354"/>
      <c r="K11" s="354"/>
      <c r="L11" s="354"/>
      <c r="M11" s="250"/>
      <c r="N11" s="250"/>
      <c r="O11" s="250"/>
      <c r="P11" s="250"/>
      <c r="Q11" s="250"/>
      <c r="R11" s="250"/>
      <c r="S11" s="250"/>
      <c r="T11" s="250"/>
      <c r="U11" s="250"/>
      <c r="V11" s="53"/>
    </row>
    <row r="12" spans="1:22" ht="12" customHeight="1" x14ac:dyDescent="0.35">
      <c r="B12" s="5"/>
      <c r="C12" s="6"/>
      <c r="D12" s="1"/>
      <c r="E12" s="48"/>
      <c r="F12" s="250"/>
      <c r="G12" s="250"/>
      <c r="H12" s="250"/>
      <c r="I12" s="250"/>
      <c r="J12" s="250"/>
      <c r="K12" s="250"/>
      <c r="L12" s="250"/>
      <c r="M12" s="250"/>
      <c r="N12" s="250"/>
      <c r="O12" s="250"/>
      <c r="P12" s="250"/>
      <c r="Q12" s="250"/>
      <c r="R12" s="250"/>
      <c r="S12" s="250"/>
      <c r="T12" s="250"/>
      <c r="U12" s="250"/>
      <c r="V12" s="53"/>
    </row>
    <row r="13" spans="1:22" ht="15.5" x14ac:dyDescent="0.35">
      <c r="B13" s="5"/>
      <c r="C13" s="6"/>
      <c r="D13" s="1"/>
      <c r="E13" s="48"/>
      <c r="F13" s="250"/>
      <c r="G13" s="514" t="s">
        <v>57</v>
      </c>
      <c r="H13" s="514"/>
      <c r="I13" s="514"/>
      <c r="J13" s="514"/>
      <c r="K13" s="514"/>
      <c r="L13" s="514"/>
      <c r="M13" s="395"/>
      <c r="N13" s="56"/>
      <c r="O13" s="526" t="s">
        <v>54</v>
      </c>
      <c r="P13" s="526"/>
      <c r="Q13" s="526"/>
      <c r="R13" s="526"/>
      <c r="S13" s="526"/>
      <c r="T13" s="526"/>
      <c r="U13" s="526"/>
      <c r="V13" s="53"/>
    </row>
    <row r="14" spans="1:22" ht="15.5" x14ac:dyDescent="0.35">
      <c r="B14" s="5"/>
      <c r="C14" s="6"/>
      <c r="D14" s="1"/>
      <c r="E14" s="48"/>
      <c r="F14" s="250"/>
      <c r="G14" s="250"/>
      <c r="H14" s="250"/>
      <c r="I14" s="250"/>
      <c r="J14" s="250"/>
      <c r="K14" s="250" t="s">
        <v>2</v>
      </c>
      <c r="L14" s="250" t="s">
        <v>24</v>
      </c>
      <c r="M14" s="250"/>
      <c r="N14" s="250"/>
      <c r="O14" s="250"/>
      <c r="P14" s="250"/>
      <c r="Q14" s="250"/>
      <c r="R14" s="250"/>
      <c r="S14" s="250"/>
      <c r="T14" s="161" t="s">
        <v>2</v>
      </c>
      <c r="U14" s="161" t="s">
        <v>24</v>
      </c>
      <c r="V14" s="53"/>
    </row>
    <row r="15" spans="1:22" ht="12" customHeight="1" x14ac:dyDescent="0.35">
      <c r="B15" s="5"/>
      <c r="C15" s="6"/>
      <c r="D15" s="1"/>
      <c r="E15" s="48"/>
      <c r="F15" s="250"/>
      <c r="G15" s="447" t="s">
        <v>52</v>
      </c>
      <c r="H15" s="447"/>
      <c r="I15" s="447"/>
      <c r="J15" s="447"/>
      <c r="K15" s="396">
        <f>'Stage 1'!V11+'Stage 1'!V14+'Stage 1'!V17</f>
        <v>0</v>
      </c>
      <c r="L15" s="397" t="s">
        <v>6</v>
      </c>
      <c r="M15" s="250"/>
      <c r="N15" s="250"/>
      <c r="O15" s="447" t="s">
        <v>422</v>
      </c>
      <c r="P15" s="447"/>
      <c r="Q15" s="447"/>
      <c r="R15" s="447"/>
      <c r="S15" s="447"/>
      <c r="T15" s="398" t="e">
        <f>-(INTERCEPT('Graph Calculations'!F14:Z14,'Graph Calculations'!F5:Z5))/(SLOPE('Graph Calculations'!F14:Z14,'Graph Calculations'!F5:Z5))</f>
        <v>#DIV/0!</v>
      </c>
      <c r="U15" s="327" t="s">
        <v>55</v>
      </c>
      <c r="V15" s="53"/>
    </row>
    <row r="16" spans="1:22" ht="15.5" x14ac:dyDescent="0.35">
      <c r="B16" s="5"/>
      <c r="C16" s="6"/>
      <c r="D16" s="1"/>
      <c r="E16" s="48"/>
      <c r="F16" s="250"/>
      <c r="G16" s="447" t="s">
        <v>53</v>
      </c>
      <c r="H16" s="447"/>
      <c r="I16" s="447"/>
      <c r="J16" s="447"/>
      <c r="K16" s="398">
        <f>'Stage 2'!K41</f>
        <v>0</v>
      </c>
      <c r="L16" s="397" t="s">
        <v>17</v>
      </c>
      <c r="M16" s="250"/>
      <c r="N16" s="250"/>
      <c r="O16" s="447" t="s">
        <v>423</v>
      </c>
      <c r="P16" s="447"/>
      <c r="Q16" s="447"/>
      <c r="R16" s="447"/>
      <c r="S16" s="447"/>
      <c r="T16" s="398" t="e">
        <f>-'Graph Calculations'!AB11</f>
        <v>#DIV/0!</v>
      </c>
      <c r="U16" s="399" t="s">
        <v>35</v>
      </c>
      <c r="V16" s="53"/>
    </row>
    <row r="17" spans="2:23" ht="4" customHeight="1" x14ac:dyDescent="0.35">
      <c r="B17" s="5"/>
      <c r="C17" s="6"/>
      <c r="D17" s="1"/>
      <c r="E17" s="48"/>
      <c r="F17" s="250"/>
      <c r="G17" s="56"/>
      <c r="H17" s="250"/>
      <c r="I17" s="250"/>
      <c r="J17" s="250"/>
      <c r="K17" s="56"/>
      <c r="L17" s="254"/>
      <c r="M17" s="250"/>
      <c r="N17" s="250"/>
      <c r="O17" s="56"/>
      <c r="P17" s="250"/>
      <c r="Q17" s="250"/>
      <c r="R17" s="250"/>
      <c r="S17" s="250"/>
      <c r="T17" s="56"/>
      <c r="U17" s="327"/>
      <c r="V17" s="53"/>
    </row>
    <row r="18" spans="2:23" ht="15.5" x14ac:dyDescent="0.35">
      <c r="B18" s="5"/>
      <c r="C18" s="6"/>
      <c r="D18" s="1"/>
      <c r="E18" s="48"/>
      <c r="F18" s="250"/>
      <c r="G18" s="495" t="s">
        <v>427</v>
      </c>
      <c r="H18" s="495"/>
      <c r="I18" s="495"/>
      <c r="J18" s="495"/>
      <c r="K18" s="495"/>
      <c r="L18" s="254"/>
      <c r="M18" s="250"/>
      <c r="N18" s="250"/>
      <c r="O18" s="495" t="s">
        <v>56</v>
      </c>
      <c r="P18" s="495"/>
      <c r="Q18" s="495"/>
      <c r="R18" s="495"/>
      <c r="S18" s="495"/>
      <c r="T18" s="400" t="e">
        <f>IF('Graph Calculations'!AB12&gt;$K$15,$K$15,'Graph Calculations'!AB12)</f>
        <v>#DIV/0!</v>
      </c>
      <c r="U18" s="401" t="s">
        <v>6</v>
      </c>
      <c r="V18" s="53"/>
    </row>
    <row r="19" spans="2:23" ht="15.5" x14ac:dyDescent="0.35">
      <c r="B19" s="5"/>
      <c r="C19" s="6"/>
      <c r="D19" s="1"/>
      <c r="E19" s="48"/>
      <c r="F19" s="250"/>
      <c r="G19" s="447" t="s">
        <v>19</v>
      </c>
      <c r="H19" s="447"/>
      <c r="I19" s="447"/>
      <c r="J19" s="447"/>
      <c r="K19" s="398">
        <f>'Stage 2'!K46</f>
        <v>0</v>
      </c>
      <c r="L19" s="397" t="s">
        <v>35</v>
      </c>
      <c r="M19" s="250"/>
      <c r="N19" s="250"/>
      <c r="O19" s="56"/>
      <c r="P19" s="250"/>
      <c r="Q19" s="250"/>
      <c r="R19" s="250"/>
      <c r="S19" s="382"/>
      <c r="T19" s="250"/>
      <c r="U19" s="327"/>
      <c r="V19" s="53"/>
    </row>
    <row r="20" spans="2:23" ht="15.5" x14ac:dyDescent="0.35">
      <c r="B20" s="5"/>
      <c r="C20" s="6"/>
      <c r="D20" s="1"/>
      <c r="E20" s="48"/>
      <c r="F20" s="250"/>
      <c r="G20" s="447" t="s">
        <v>428</v>
      </c>
      <c r="H20" s="447"/>
      <c r="I20" s="447"/>
      <c r="J20" s="447"/>
      <c r="K20" s="398">
        <f>'Stage 2'!K48</f>
        <v>0</v>
      </c>
      <c r="L20" s="397" t="s">
        <v>35</v>
      </c>
      <c r="M20" s="250"/>
      <c r="N20" s="250"/>
      <c r="O20" s="447" t="s">
        <v>424</v>
      </c>
      <c r="P20" s="447"/>
      <c r="Q20" s="447"/>
      <c r="R20" s="447"/>
      <c r="S20" s="447"/>
      <c r="T20" s="398" t="e">
        <f>-(INTERCEPT('Graph Calculations'!F26:Z26,'Graph Calculations'!F17:Z17))/(SLOPE('Graph Calculations'!F26:Z26,'Graph Calculations'!F17:Z17))</f>
        <v>#DIV/0!</v>
      </c>
      <c r="U20" s="327" t="s">
        <v>55</v>
      </c>
      <c r="V20" s="53"/>
    </row>
    <row r="21" spans="2:23" ht="15.5" x14ac:dyDescent="0.35">
      <c r="B21" s="5"/>
      <c r="C21" s="6"/>
      <c r="D21" s="1"/>
      <c r="E21" s="48"/>
      <c r="F21" s="250"/>
      <c r="G21" s="56"/>
      <c r="H21" s="250"/>
      <c r="I21" s="250"/>
      <c r="J21" s="250"/>
      <c r="K21" s="56"/>
      <c r="L21" s="254"/>
      <c r="M21" s="250"/>
      <c r="N21" s="250"/>
      <c r="O21" s="447" t="s">
        <v>425</v>
      </c>
      <c r="P21" s="447"/>
      <c r="Q21" s="447"/>
      <c r="R21" s="447"/>
      <c r="S21" s="447"/>
      <c r="T21" s="398" t="e">
        <f>-'Graph Calculations'!AB23</f>
        <v>#DIV/0!</v>
      </c>
      <c r="U21" s="399" t="s">
        <v>35</v>
      </c>
      <c r="V21" s="53"/>
    </row>
    <row r="22" spans="2:23" ht="15.5" x14ac:dyDescent="0.35">
      <c r="B22" s="5"/>
      <c r="C22" s="6"/>
      <c r="D22" s="1"/>
      <c r="E22" s="48"/>
      <c r="F22" s="250"/>
      <c r="G22" s="495" t="s">
        <v>426</v>
      </c>
      <c r="H22" s="495"/>
      <c r="I22" s="495"/>
      <c r="J22" s="495"/>
      <c r="K22" s="495"/>
      <c r="L22" s="254"/>
      <c r="M22" s="250"/>
      <c r="N22" s="250"/>
      <c r="O22" s="56"/>
      <c r="P22" s="250"/>
      <c r="Q22" s="250"/>
      <c r="R22" s="250"/>
      <c r="S22" s="250"/>
      <c r="T22" s="56"/>
      <c r="U22" s="250"/>
      <c r="V22" s="53"/>
    </row>
    <row r="23" spans="2:23" ht="2.15" customHeight="1" x14ac:dyDescent="0.35">
      <c r="B23" s="5"/>
      <c r="C23" s="6"/>
      <c r="D23" s="1"/>
      <c r="E23" s="48"/>
      <c r="F23" s="250"/>
      <c r="G23" s="56"/>
      <c r="H23" s="250"/>
      <c r="I23" s="250"/>
      <c r="J23" s="250"/>
      <c r="K23" s="56"/>
      <c r="L23" s="254"/>
      <c r="M23" s="250"/>
      <c r="N23" s="250"/>
      <c r="O23" s="249"/>
      <c r="P23" s="249"/>
      <c r="Q23" s="249"/>
      <c r="R23" s="249"/>
      <c r="S23" s="249"/>
      <c r="T23" s="249"/>
      <c r="U23" s="249"/>
      <c r="V23" s="53"/>
    </row>
    <row r="24" spans="2:23" ht="15.5" x14ac:dyDescent="0.35">
      <c r="B24" s="5"/>
      <c r="C24" s="6"/>
      <c r="D24" s="1"/>
      <c r="E24" s="48"/>
      <c r="F24" s="250"/>
      <c r="G24" s="447" t="s">
        <v>429</v>
      </c>
      <c r="H24" s="447"/>
      <c r="I24" s="447"/>
      <c r="J24" s="447"/>
      <c r="K24" s="398">
        <f>'Stage 4'!K12</f>
        <v>0</v>
      </c>
      <c r="L24" s="397" t="s">
        <v>35</v>
      </c>
      <c r="M24" s="250"/>
      <c r="N24" s="250"/>
      <c r="O24" s="495" t="s">
        <v>56</v>
      </c>
      <c r="P24" s="495"/>
      <c r="Q24" s="495"/>
      <c r="R24" s="495"/>
      <c r="S24" s="495"/>
      <c r="T24" s="400" t="e">
        <f>IF('Graph Calculations'!AB24&gt;$K$15,$K$15,'Graph Calculations'!AB24)</f>
        <v>#DIV/0!</v>
      </c>
      <c r="U24" s="401" t="s">
        <v>6</v>
      </c>
      <c r="V24" s="53"/>
    </row>
    <row r="25" spans="2:23" ht="15.5" x14ac:dyDescent="0.35">
      <c r="B25" s="5"/>
      <c r="C25" s="6"/>
      <c r="D25" s="1"/>
      <c r="E25" s="48"/>
      <c r="F25" s="250"/>
      <c r="G25" s="447" t="s">
        <v>26</v>
      </c>
      <c r="H25" s="447"/>
      <c r="I25" s="447"/>
      <c r="J25" s="447"/>
      <c r="K25" s="398">
        <f>'Stage 3'!K36</f>
        <v>0</v>
      </c>
      <c r="L25" s="397" t="s">
        <v>35</v>
      </c>
      <c r="M25" s="250"/>
      <c r="N25" s="250"/>
      <c r="O25" s="250"/>
      <c r="P25" s="250"/>
      <c r="Q25" s="250"/>
      <c r="R25" s="250"/>
      <c r="S25" s="250"/>
      <c r="T25" s="250"/>
      <c r="U25" s="250"/>
      <c r="V25" s="53"/>
    </row>
    <row r="26" spans="2:23" ht="15.5" x14ac:dyDescent="0.35">
      <c r="B26" s="5"/>
      <c r="C26" s="6"/>
      <c r="D26" s="1"/>
      <c r="E26" s="48"/>
      <c r="F26" s="250"/>
      <c r="G26" s="447" t="s">
        <v>430</v>
      </c>
      <c r="H26" s="447"/>
      <c r="I26" s="447"/>
      <c r="J26" s="447"/>
      <c r="K26" s="398">
        <f>'Stage 1'!U63</f>
        <v>0</v>
      </c>
      <c r="L26" s="397" t="s">
        <v>35</v>
      </c>
      <c r="M26" s="250"/>
      <c r="N26" s="250"/>
      <c r="O26" s="250"/>
      <c r="P26" s="250"/>
      <c r="Q26" s="250"/>
      <c r="R26" s="250"/>
      <c r="S26" s="250"/>
      <c r="T26" s="250"/>
      <c r="U26" s="250"/>
      <c r="V26" s="53"/>
    </row>
    <row r="27" spans="2:23" ht="15.5" x14ac:dyDescent="0.35">
      <c r="B27" s="5"/>
      <c r="C27" s="6"/>
      <c r="D27" s="1"/>
      <c r="E27" s="48"/>
      <c r="F27" s="250"/>
      <c r="G27" s="447" t="s">
        <v>406</v>
      </c>
      <c r="H27" s="447"/>
      <c r="I27" s="447"/>
      <c r="J27" s="447"/>
      <c r="K27" s="398">
        <f>'Stage 3'!K38</f>
        <v>0</v>
      </c>
      <c r="L27" s="397" t="s">
        <v>35</v>
      </c>
      <c r="M27" s="250"/>
      <c r="N27" s="250"/>
      <c r="O27" s="250"/>
      <c r="P27" s="250"/>
      <c r="Q27" s="250"/>
      <c r="R27" s="250"/>
      <c r="S27" s="250"/>
      <c r="T27" s="250"/>
      <c r="U27" s="250"/>
      <c r="V27" s="53"/>
    </row>
    <row r="28" spans="2:23" ht="15.5" x14ac:dyDescent="0.35">
      <c r="B28" s="5"/>
      <c r="C28" s="6"/>
      <c r="D28" s="1"/>
      <c r="E28" s="48"/>
      <c r="F28" s="250"/>
      <c r="G28" s="250"/>
      <c r="H28" s="250"/>
      <c r="I28" s="250"/>
      <c r="J28" s="250"/>
      <c r="K28" s="382"/>
      <c r="L28" s="382"/>
      <c r="M28" s="250"/>
      <c r="N28" s="250"/>
      <c r="O28" s="250"/>
      <c r="P28" s="250"/>
      <c r="Q28" s="250"/>
      <c r="R28" s="250"/>
      <c r="S28" s="250"/>
      <c r="T28" s="250"/>
      <c r="U28" s="250"/>
      <c r="V28" s="53"/>
    </row>
    <row r="29" spans="2:23" ht="15.5" x14ac:dyDescent="0.35">
      <c r="B29" s="5"/>
      <c r="C29" s="6"/>
      <c r="D29" s="1"/>
      <c r="E29" s="48"/>
      <c r="F29" s="250"/>
      <c r="G29" s="250"/>
      <c r="H29" s="250"/>
      <c r="I29" s="250"/>
      <c r="J29" s="250"/>
      <c r="K29" s="250"/>
      <c r="L29" s="250"/>
      <c r="M29" s="250"/>
      <c r="N29" s="250"/>
      <c r="O29" s="253"/>
      <c r="P29" s="250"/>
      <c r="Q29" s="250"/>
      <c r="R29" s="250"/>
      <c r="S29" s="250"/>
      <c r="T29" s="250"/>
      <c r="U29" s="250"/>
      <c r="V29" s="53"/>
      <c r="W29" s="14"/>
    </row>
    <row r="30" spans="2:23" ht="6" customHeight="1" x14ac:dyDescent="0.35">
      <c r="B30" s="5"/>
      <c r="C30" s="6"/>
      <c r="D30" s="1"/>
      <c r="E30" s="48"/>
      <c r="F30" s="250"/>
      <c r="G30" s="250"/>
      <c r="H30" s="250"/>
      <c r="I30" s="250"/>
      <c r="J30" s="250"/>
      <c r="K30" s="250"/>
      <c r="L30" s="250"/>
      <c r="M30" s="250"/>
      <c r="N30" s="250"/>
      <c r="O30" s="250"/>
      <c r="P30" s="250"/>
      <c r="Q30" s="250"/>
      <c r="R30" s="250"/>
      <c r="S30" s="250"/>
      <c r="T30" s="250"/>
      <c r="U30" s="250"/>
      <c r="V30" s="53"/>
    </row>
    <row r="31" spans="2:23" ht="16" customHeight="1" x14ac:dyDescent="0.35">
      <c r="B31" s="5"/>
      <c r="C31" s="6"/>
      <c r="D31" s="1"/>
      <c r="E31" s="48"/>
      <c r="F31" s="250"/>
      <c r="G31" s="250"/>
      <c r="H31" s="250"/>
      <c r="I31" s="250"/>
      <c r="J31" s="250"/>
      <c r="K31" s="250"/>
      <c r="L31" s="250"/>
      <c r="M31" s="250"/>
      <c r="N31" s="250"/>
      <c r="O31" s="250"/>
      <c r="P31" s="250"/>
      <c r="Q31" s="250"/>
      <c r="R31" s="250"/>
      <c r="S31" s="250"/>
      <c r="T31" s="250"/>
      <c r="U31" s="250"/>
      <c r="V31" s="53"/>
    </row>
    <row r="32" spans="2:23" ht="15" customHeight="1" x14ac:dyDescent="0.35">
      <c r="B32" s="5"/>
      <c r="C32" s="6"/>
      <c r="D32" s="1"/>
      <c r="E32" s="48"/>
      <c r="F32" s="250"/>
      <c r="G32" s="250"/>
      <c r="H32" s="250"/>
      <c r="I32" s="250"/>
      <c r="J32" s="250"/>
      <c r="K32" s="382"/>
      <c r="L32" s="382"/>
      <c r="M32" s="250"/>
      <c r="N32" s="250"/>
      <c r="O32" s="250"/>
      <c r="P32" s="250"/>
      <c r="Q32" s="250"/>
      <c r="R32" s="250"/>
      <c r="S32" s="382"/>
      <c r="T32" s="382"/>
      <c r="U32" s="250"/>
      <c r="V32" s="53"/>
    </row>
    <row r="33" spans="2:23" ht="15.5" x14ac:dyDescent="0.35">
      <c r="B33" s="5"/>
      <c r="C33" s="6"/>
      <c r="D33" s="1" t="s">
        <v>28</v>
      </c>
      <c r="E33" s="48"/>
      <c r="F33" s="250"/>
      <c r="G33" s="250"/>
      <c r="H33" s="250"/>
      <c r="I33" s="250"/>
      <c r="J33" s="250"/>
      <c r="K33" s="382"/>
      <c r="L33" s="382"/>
      <c r="M33" s="250"/>
      <c r="N33" s="250"/>
      <c r="O33" s="250"/>
      <c r="P33" s="250"/>
      <c r="Q33" s="250"/>
      <c r="R33" s="250"/>
      <c r="S33" s="382"/>
      <c r="T33" s="382"/>
      <c r="U33" s="250"/>
      <c r="V33" s="53"/>
    </row>
    <row r="34" spans="2:23" ht="12.65" customHeight="1" x14ac:dyDescent="0.35">
      <c r="B34" s="5"/>
      <c r="C34" s="6"/>
      <c r="D34" s="1"/>
      <c r="E34" s="48"/>
      <c r="F34" s="250"/>
      <c r="G34" s="250"/>
      <c r="H34" s="250"/>
      <c r="I34" s="250"/>
      <c r="J34" s="250"/>
      <c r="K34" s="250"/>
      <c r="L34" s="250"/>
      <c r="M34" s="250"/>
      <c r="N34" s="250"/>
      <c r="O34" s="250"/>
      <c r="P34" s="250"/>
      <c r="Q34" s="250"/>
      <c r="R34" s="250"/>
      <c r="S34" s="250"/>
      <c r="T34" s="250"/>
      <c r="U34" s="250"/>
      <c r="V34" s="53"/>
    </row>
    <row r="35" spans="2:23" ht="23.5" customHeight="1" x14ac:dyDescent="0.35">
      <c r="B35" s="5"/>
      <c r="C35" s="6"/>
      <c r="D35" s="42" t="s">
        <v>70</v>
      </c>
      <c r="E35" s="48"/>
      <c r="F35" s="250"/>
      <c r="G35" s="253"/>
      <c r="H35" s="250"/>
      <c r="I35" s="250"/>
      <c r="J35" s="250"/>
      <c r="K35" s="382"/>
      <c r="L35" s="382"/>
      <c r="M35" s="250"/>
      <c r="N35" s="250"/>
      <c r="O35" s="250"/>
      <c r="P35" s="250"/>
      <c r="Q35" s="250"/>
      <c r="R35" s="250"/>
      <c r="S35" s="382"/>
      <c r="T35" s="382"/>
      <c r="U35" s="250"/>
      <c r="V35" s="53"/>
    </row>
    <row r="36" spans="2:23" ht="1.5" customHeight="1" x14ac:dyDescent="0.35">
      <c r="B36" s="5"/>
      <c r="C36" s="6"/>
      <c r="D36" s="1"/>
      <c r="E36" s="48"/>
      <c r="F36" s="250"/>
      <c r="G36" s="250"/>
      <c r="H36" s="250"/>
      <c r="I36" s="250"/>
      <c r="J36" s="250"/>
      <c r="K36" s="250"/>
      <c r="L36" s="250"/>
      <c r="M36" s="250"/>
      <c r="N36" s="250"/>
      <c r="O36" s="250"/>
      <c r="P36" s="250"/>
      <c r="Q36" s="250"/>
      <c r="R36" s="250"/>
      <c r="S36" s="250"/>
      <c r="T36" s="250"/>
      <c r="U36" s="250"/>
      <c r="V36" s="53"/>
    </row>
    <row r="37" spans="2:23" ht="15.5" x14ac:dyDescent="0.35">
      <c r="B37" s="5"/>
      <c r="C37" s="6"/>
      <c r="D37" s="42" t="s">
        <v>71</v>
      </c>
      <c r="E37" s="48"/>
      <c r="F37" s="250"/>
      <c r="G37" s="250"/>
      <c r="H37" s="250"/>
      <c r="I37" s="250"/>
      <c r="J37" s="250"/>
      <c r="K37" s="250"/>
      <c r="L37" s="250"/>
      <c r="M37" s="250"/>
      <c r="N37" s="250"/>
      <c r="O37" s="250"/>
      <c r="P37" s="250"/>
      <c r="Q37" s="250"/>
      <c r="R37" s="250"/>
      <c r="S37" s="250"/>
      <c r="T37" s="250"/>
      <c r="U37" s="250"/>
      <c r="V37" s="53"/>
      <c r="W37" s="14"/>
    </row>
    <row r="38" spans="2:23" ht="15.5" x14ac:dyDescent="0.35">
      <c r="B38" s="5"/>
      <c r="C38" s="6"/>
      <c r="D38" s="1"/>
      <c r="E38" s="60"/>
      <c r="F38" s="310"/>
      <c r="G38" s="310"/>
      <c r="H38" s="250"/>
      <c r="I38" s="250"/>
      <c r="J38" s="250"/>
      <c r="K38" s="250"/>
      <c r="L38" s="250"/>
      <c r="M38" s="250"/>
      <c r="N38" s="250"/>
      <c r="O38" s="250"/>
      <c r="P38" s="250"/>
      <c r="Q38" s="250"/>
      <c r="R38" s="250"/>
      <c r="S38" s="250"/>
      <c r="T38" s="250"/>
      <c r="U38" s="250"/>
      <c r="V38" s="53"/>
      <c r="W38" s="14"/>
    </row>
    <row r="39" spans="2:23" ht="6.65" customHeight="1" x14ac:dyDescent="0.35">
      <c r="B39" s="5"/>
      <c r="C39" s="6"/>
      <c r="D39" s="1"/>
      <c r="E39" s="48"/>
      <c r="F39" s="250"/>
      <c r="G39" s="250"/>
      <c r="H39" s="250"/>
      <c r="I39" s="250"/>
      <c r="J39" s="250"/>
      <c r="K39" s="250"/>
      <c r="L39" s="250"/>
      <c r="M39" s="250"/>
      <c r="N39" s="250"/>
      <c r="O39" s="250"/>
      <c r="P39" s="250"/>
      <c r="Q39" s="250"/>
      <c r="R39" s="250"/>
      <c r="S39" s="250"/>
      <c r="T39" s="250"/>
      <c r="U39" s="250"/>
      <c r="V39" s="53"/>
      <c r="W39" s="14"/>
    </row>
    <row r="40" spans="2:23" ht="15.5" x14ac:dyDescent="0.35">
      <c r="B40" s="5"/>
      <c r="C40" s="6"/>
      <c r="D40" s="1"/>
      <c r="E40" s="48"/>
      <c r="F40" s="250"/>
      <c r="G40" s="250"/>
      <c r="H40" s="250"/>
      <c r="I40" s="250"/>
      <c r="J40" s="250"/>
      <c r="K40" s="250"/>
      <c r="L40" s="250"/>
      <c r="M40" s="250"/>
      <c r="N40" s="250"/>
      <c r="O40" s="250"/>
      <c r="P40" s="250"/>
      <c r="Q40" s="250"/>
      <c r="R40" s="250"/>
      <c r="S40" s="250"/>
      <c r="T40" s="250"/>
      <c r="U40" s="250"/>
      <c r="V40" s="53"/>
      <c r="W40" s="14"/>
    </row>
    <row r="41" spans="2:23" ht="15.5" x14ac:dyDescent="0.35">
      <c r="B41" s="5"/>
      <c r="C41" s="6"/>
      <c r="D41" s="1"/>
      <c r="E41" s="48"/>
      <c r="F41" s="250"/>
      <c r="G41" s="253"/>
      <c r="H41" s="250"/>
      <c r="I41" s="250"/>
      <c r="J41" s="250"/>
      <c r="K41" s="250"/>
      <c r="L41" s="250"/>
      <c r="M41" s="250"/>
      <c r="N41" s="250"/>
      <c r="O41" s="250"/>
      <c r="P41" s="250"/>
      <c r="Q41" s="250"/>
      <c r="R41" s="250"/>
      <c r="S41" s="250"/>
      <c r="T41" s="250"/>
      <c r="U41" s="250"/>
      <c r="V41" s="53"/>
      <c r="W41" s="14"/>
    </row>
    <row r="42" spans="2:23" ht="15.5" x14ac:dyDescent="0.35">
      <c r="B42" s="5"/>
      <c r="C42" s="6"/>
      <c r="D42" s="1"/>
      <c r="E42" s="48"/>
      <c r="F42" s="250"/>
      <c r="G42" s="250"/>
      <c r="H42" s="250"/>
      <c r="I42" s="250"/>
      <c r="J42" s="250"/>
      <c r="K42" s="250"/>
      <c r="L42" s="250"/>
      <c r="M42" s="250"/>
      <c r="N42" s="250"/>
      <c r="O42" s="250"/>
      <c r="P42" s="250"/>
      <c r="Q42" s="250"/>
      <c r="R42" s="250"/>
      <c r="S42" s="250"/>
      <c r="T42" s="250"/>
      <c r="U42" s="250"/>
      <c r="V42" s="53"/>
      <c r="W42" s="14"/>
    </row>
    <row r="43" spans="2:23" ht="12.65" customHeight="1" x14ac:dyDescent="0.35">
      <c r="B43" s="5"/>
      <c r="C43" s="6"/>
      <c r="D43" s="1"/>
      <c r="E43" s="48"/>
      <c r="F43" s="250"/>
      <c r="G43" s="250"/>
      <c r="H43" s="250"/>
      <c r="I43" s="250"/>
      <c r="J43" s="250"/>
      <c r="K43" s="250"/>
      <c r="L43" s="250"/>
      <c r="M43" s="250"/>
      <c r="N43" s="250"/>
      <c r="O43" s="250"/>
      <c r="P43" s="250"/>
      <c r="Q43" s="250"/>
      <c r="R43" s="250"/>
      <c r="S43" s="250"/>
      <c r="T43" s="250"/>
      <c r="U43" s="250"/>
      <c r="V43" s="53"/>
      <c r="W43" s="14"/>
    </row>
    <row r="44" spans="2:23" ht="35.5" customHeight="1" x14ac:dyDescent="0.35">
      <c r="B44" s="5"/>
      <c r="C44" s="6"/>
      <c r="D44" s="1"/>
      <c r="E44" s="48"/>
      <c r="F44" s="250"/>
      <c r="G44" s="250"/>
      <c r="H44" s="250"/>
      <c r="I44" s="250"/>
      <c r="J44" s="250"/>
      <c r="K44" s="250"/>
      <c r="L44" s="250"/>
      <c r="M44" s="250"/>
      <c r="N44" s="250"/>
      <c r="O44" s="250"/>
      <c r="P44" s="250"/>
      <c r="Q44" s="250"/>
      <c r="R44" s="250"/>
      <c r="S44" s="250"/>
      <c r="T44" s="250"/>
      <c r="U44" s="250"/>
      <c r="V44" s="53"/>
      <c r="W44" s="14"/>
    </row>
    <row r="45" spans="2:23" ht="13" customHeight="1" x14ac:dyDescent="0.35">
      <c r="B45" s="5"/>
      <c r="C45" s="6"/>
      <c r="D45" s="1"/>
      <c r="E45" s="48"/>
      <c r="F45" s="250"/>
      <c r="G45" s="250"/>
      <c r="H45" s="250"/>
      <c r="I45" s="250"/>
      <c r="J45" s="250"/>
      <c r="K45" s="250"/>
      <c r="L45" s="250"/>
      <c r="M45" s="250"/>
      <c r="N45" s="250"/>
      <c r="O45" s="250"/>
      <c r="P45" s="250"/>
      <c r="Q45" s="250"/>
      <c r="R45" s="250"/>
      <c r="S45" s="250"/>
      <c r="T45" s="250"/>
      <c r="U45" s="250"/>
      <c r="V45" s="53"/>
      <c r="W45" s="14"/>
    </row>
    <row r="46" spans="2:23" ht="13" customHeight="1" x14ac:dyDescent="0.35">
      <c r="B46" s="5"/>
      <c r="C46" s="6"/>
      <c r="D46" s="1"/>
      <c r="E46" s="48"/>
      <c r="F46" s="250"/>
      <c r="G46" s="250"/>
      <c r="H46" s="250"/>
      <c r="I46" s="250"/>
      <c r="J46" s="250"/>
      <c r="K46" s="250"/>
      <c r="L46" s="250"/>
      <c r="M46" s="250"/>
      <c r="N46" s="250"/>
      <c r="O46" s="250"/>
      <c r="P46" s="250"/>
      <c r="Q46" s="250"/>
      <c r="R46" s="250"/>
      <c r="S46" s="250"/>
      <c r="T46" s="250"/>
      <c r="U46" s="250"/>
      <c r="V46" s="53"/>
      <c r="W46" s="14"/>
    </row>
    <row r="47" spans="2:23" ht="35.5" customHeight="1" x14ac:dyDescent="0.35">
      <c r="B47" s="5"/>
      <c r="C47" s="6"/>
      <c r="D47" s="1"/>
      <c r="E47" s="48"/>
      <c r="F47" s="250"/>
      <c r="G47" s="250"/>
      <c r="H47" s="250"/>
      <c r="I47" s="250"/>
      <c r="J47" s="250"/>
      <c r="K47" s="250"/>
      <c r="L47" s="250"/>
      <c r="M47" s="250"/>
      <c r="N47" s="250"/>
      <c r="O47" s="250"/>
      <c r="P47" s="250"/>
      <c r="Q47" s="250"/>
      <c r="R47" s="250"/>
      <c r="S47" s="250"/>
      <c r="T47" s="250"/>
      <c r="U47" s="250"/>
      <c r="V47" s="53"/>
      <c r="W47" s="14"/>
    </row>
    <row r="48" spans="2:23" ht="35.5" customHeight="1" x14ac:dyDescent="0.35">
      <c r="B48" s="5"/>
      <c r="C48" s="6"/>
      <c r="D48" s="1"/>
      <c r="E48" s="48"/>
      <c r="F48" s="250"/>
      <c r="G48" s="250"/>
      <c r="H48" s="250"/>
      <c r="I48" s="250"/>
      <c r="J48" s="250"/>
      <c r="K48" s="250"/>
      <c r="L48" s="250"/>
      <c r="M48" s="250"/>
      <c r="N48" s="250"/>
      <c r="O48" s="250"/>
      <c r="P48" s="250"/>
      <c r="Q48" s="250"/>
      <c r="R48" s="250"/>
      <c r="S48" s="250"/>
      <c r="T48" s="250"/>
      <c r="U48" s="250"/>
      <c r="V48" s="53"/>
      <c r="W48" s="14"/>
    </row>
    <row r="49" spans="2:23" ht="35.5" customHeight="1" x14ac:dyDescent="0.35">
      <c r="B49" s="5"/>
      <c r="C49" s="6"/>
      <c r="D49" s="1"/>
      <c r="E49" s="48"/>
      <c r="F49" s="250"/>
      <c r="G49" s="250"/>
      <c r="H49" s="250"/>
      <c r="I49" s="250"/>
      <c r="J49" s="250"/>
      <c r="K49" s="250"/>
      <c r="L49" s="250"/>
      <c r="M49" s="250"/>
      <c r="N49" s="250"/>
      <c r="O49" s="250"/>
      <c r="P49" s="250"/>
      <c r="Q49" s="250"/>
      <c r="R49" s="250"/>
      <c r="S49" s="250"/>
      <c r="T49" s="250"/>
      <c r="U49" s="250"/>
      <c r="V49" s="53"/>
      <c r="W49" s="14"/>
    </row>
    <row r="50" spans="2:23" ht="35.5" customHeight="1" x14ac:dyDescent="0.35">
      <c r="B50" s="5"/>
      <c r="C50" s="6"/>
      <c r="D50" s="1"/>
      <c r="E50" s="48"/>
      <c r="F50" s="250"/>
      <c r="G50" s="250"/>
      <c r="H50" s="250"/>
      <c r="I50" s="250"/>
      <c r="J50" s="250"/>
      <c r="K50" s="250"/>
      <c r="L50" s="250"/>
      <c r="M50" s="250"/>
      <c r="N50" s="250"/>
      <c r="O50" s="250"/>
      <c r="P50" s="250"/>
      <c r="Q50" s="250"/>
      <c r="R50" s="250"/>
      <c r="S50" s="250"/>
      <c r="T50" s="250"/>
      <c r="U50" s="250"/>
      <c r="V50" s="53"/>
      <c r="W50" s="14"/>
    </row>
    <row r="51" spans="2:23" ht="35.5" customHeight="1" x14ac:dyDescent="0.35">
      <c r="B51" s="5"/>
      <c r="C51" s="6"/>
      <c r="D51" s="1"/>
      <c r="E51" s="48"/>
      <c r="F51" s="250"/>
      <c r="G51" s="250"/>
      <c r="H51" s="250"/>
      <c r="I51" s="250"/>
      <c r="J51" s="250"/>
      <c r="K51" s="250"/>
      <c r="L51" s="250"/>
      <c r="M51" s="250"/>
      <c r="N51" s="250"/>
      <c r="O51" s="250"/>
      <c r="P51" s="250"/>
      <c r="Q51" s="250"/>
      <c r="R51" s="250"/>
      <c r="S51" s="250"/>
      <c r="T51" s="250"/>
      <c r="U51" s="250"/>
      <c r="V51" s="53"/>
      <c r="W51" s="14"/>
    </row>
    <row r="52" spans="2:23" ht="35.5" customHeight="1" x14ac:dyDescent="0.35">
      <c r="B52" s="5"/>
      <c r="C52" s="6"/>
      <c r="D52" s="1"/>
      <c r="E52" s="48"/>
      <c r="F52" s="250"/>
      <c r="G52" s="250"/>
      <c r="H52" s="250"/>
      <c r="I52" s="250"/>
      <c r="J52" s="250"/>
      <c r="K52" s="250"/>
      <c r="L52" s="250"/>
      <c r="M52" s="250"/>
      <c r="N52" s="250"/>
      <c r="O52" s="250"/>
      <c r="P52" s="250"/>
      <c r="Q52" s="250"/>
      <c r="R52" s="250"/>
      <c r="S52" s="250"/>
      <c r="T52" s="250"/>
      <c r="U52" s="250"/>
      <c r="V52" s="53"/>
      <c r="W52" s="14"/>
    </row>
    <row r="53" spans="2:23" ht="35.5" customHeight="1" x14ac:dyDescent="0.35">
      <c r="B53" s="5"/>
      <c r="C53" s="6"/>
      <c r="D53" s="1"/>
      <c r="E53" s="48"/>
      <c r="F53" s="250"/>
      <c r="G53" s="250"/>
      <c r="H53" s="250"/>
      <c r="I53" s="250"/>
      <c r="J53" s="250"/>
      <c r="K53" s="250"/>
      <c r="L53" s="250"/>
      <c r="M53" s="250"/>
      <c r="N53" s="250"/>
      <c r="O53" s="250"/>
      <c r="P53" s="250"/>
      <c r="Q53" s="250"/>
      <c r="R53" s="250"/>
      <c r="S53" s="250"/>
      <c r="T53" s="250"/>
      <c r="U53" s="250"/>
      <c r="V53" s="53"/>
      <c r="W53" s="14"/>
    </row>
    <row r="54" spans="2:23" ht="19.5" customHeight="1" thickBot="1" x14ac:dyDescent="0.35">
      <c r="B54" s="8"/>
      <c r="C54" s="9"/>
      <c r="D54" s="41"/>
      <c r="E54" s="58"/>
      <c r="F54" s="58"/>
      <c r="G54" s="58"/>
      <c r="H54" s="66"/>
      <c r="I54" s="58"/>
      <c r="J54" s="58"/>
      <c r="K54" s="58"/>
      <c r="L54" s="58"/>
      <c r="M54" s="58"/>
      <c r="N54" s="58"/>
      <c r="O54" s="58"/>
      <c r="P54" s="58"/>
      <c r="Q54" s="58"/>
      <c r="R54" s="58"/>
      <c r="S54" s="58"/>
      <c r="T54" s="58"/>
      <c r="U54" s="58"/>
      <c r="V54" s="59"/>
      <c r="W54" s="16"/>
    </row>
    <row r="55" spans="2:23" x14ac:dyDescent="0.25">
      <c r="E55" s="1"/>
      <c r="F55" s="1"/>
      <c r="G55" s="1"/>
      <c r="H55" s="1"/>
      <c r="I55" s="1"/>
      <c r="J55" s="1"/>
      <c r="K55" s="1"/>
      <c r="L55" s="1"/>
      <c r="M55" s="1"/>
      <c r="N55" s="1"/>
      <c r="O55" s="1"/>
      <c r="P55" s="1"/>
      <c r="Q55" s="1"/>
      <c r="R55" s="1"/>
      <c r="S55" s="1"/>
      <c r="T55" s="1"/>
      <c r="U55" s="1"/>
      <c r="V55" s="1"/>
    </row>
    <row r="69" spans="10:18" ht="13" x14ac:dyDescent="0.3">
      <c r="J69" s="19"/>
      <c r="K69" s="19"/>
      <c r="L69" s="19"/>
      <c r="M69" s="19"/>
      <c r="N69" s="19"/>
      <c r="O69" s="19"/>
      <c r="P69" s="19"/>
      <c r="Q69" s="19"/>
      <c r="R69" s="19"/>
    </row>
  </sheetData>
  <sheetProtection algorithmName="SHA-512" hashValue="Xr1zlvxEM9GGKyAIo5Wxh6SaqTLn86HsaHKikhVsKwH35CzGaawfmyG0jK7SRUeHLZc6Hhoovix1hjgQABSPVQ==" saltValue="Mhhi51IKFh9XWmEwXxrTYA==" spinCount="100000" sheet="1" objects="1" scenarios="1" selectLockedCells="1"/>
  <dataConsolidate/>
  <mergeCells count="22">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 ref="F3:U3"/>
    <mergeCell ref="G5:U6"/>
    <mergeCell ref="G7:U9"/>
    <mergeCell ref="G13:L13"/>
    <mergeCell ref="O13:U13"/>
    <mergeCell ref="G10:U10"/>
  </mergeCells>
  <conditionalFormatting sqref="G5:U6">
    <cfRule type="containsText" dxfId="51" priority="1" operator="containsText" text="not">
      <formula>NOT(ISERROR(SEARCH("not",G5)))</formula>
    </cfRule>
    <cfRule type="containsText" dxfId="50" priority="2" operator="containsText" text="has">
      <formula>NOT(ISERROR(SEARCH("has",G5)))</formula>
    </cfRule>
  </conditionalFormatting>
  <dataValidations count="1">
    <dataValidation type="list" allowBlank="1" showInputMessage="1" showErrorMessage="1" sqref="G11" xr:uid="{7A567102-E55A-4687-A786-44C8EC9C72E5}">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r:id="rId1"/>
  <headerFooter>
    <oddHeader>&amp;LPhosphate Budget Calculator&amp;CStage 4</oddHeader>
    <oddFooter>&amp;LVersion 2.2&amp;R&amp;D</oddFooter>
  </headerFooter>
  <customProperties>
    <customPr name="SSC_SHEET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tabColor theme="5" tint="0.79998168889431442"/>
    <pageSetUpPr fitToPage="1"/>
  </sheetPr>
  <dimension ref="A1:AB67"/>
  <sheetViews>
    <sheetView topLeftCell="B1" zoomScale="115" zoomScaleNormal="115" workbookViewId="0">
      <selection activeCell="O18" sqref="O18"/>
    </sheetView>
  </sheetViews>
  <sheetFormatPr defaultRowHeight="12.5" x14ac:dyDescent="0.25"/>
  <cols>
    <col min="2" max="3" width="0.81640625" customWidth="1"/>
    <col min="4" max="4" width="6.453125" hidden="1" customWidth="1"/>
    <col min="5" max="5" width="30.54296875" customWidth="1"/>
    <col min="6" max="6" width="8" customWidth="1"/>
    <col min="7" max="7" width="8.26953125" customWidth="1"/>
    <col min="8" max="8" width="7" customWidth="1"/>
    <col min="9" max="9" width="9.1796875" customWidth="1"/>
    <col min="10" max="10" width="6.54296875" customWidth="1"/>
    <col min="11" max="11" width="7.453125" customWidth="1"/>
    <col min="12" max="12" width="7.81640625" customWidth="1"/>
    <col min="13" max="13" width="7.453125" customWidth="1"/>
    <col min="14" max="14" width="7.81640625" customWidth="1"/>
    <col min="15" max="15" width="6.81640625" customWidth="1"/>
    <col min="16" max="16" width="7.54296875" customWidth="1"/>
    <col min="17" max="17" width="8.1796875" customWidth="1"/>
    <col min="18" max="18" width="7.453125" customWidth="1"/>
    <col min="19" max="19" width="7.54296875" customWidth="1"/>
    <col min="20" max="21" width="7.1796875" customWidth="1"/>
    <col min="22" max="22" width="8.453125" customWidth="1"/>
    <col min="23" max="23" width="9.54296875" customWidth="1"/>
    <col min="24" max="24" width="7.453125" customWidth="1"/>
    <col min="25" max="25" width="8.453125" customWidth="1"/>
    <col min="26" max="26" width="8" customWidth="1"/>
    <col min="27" max="27" width="3.81640625" customWidth="1"/>
    <col min="28" max="28" width="17.1796875" customWidth="1"/>
  </cols>
  <sheetData>
    <row r="1" spans="2:28" ht="13" thickBot="1" x14ac:dyDescent="0.3"/>
    <row r="2" spans="2:28" ht="3.65" customHeight="1" x14ac:dyDescent="0.25">
      <c r="B2" s="2"/>
      <c r="C2" s="3"/>
      <c r="D2" s="3"/>
      <c r="E2" s="3"/>
      <c r="F2" s="3"/>
      <c r="G2" s="3"/>
      <c r="H2" s="3"/>
      <c r="I2" s="3"/>
      <c r="J2" s="3"/>
      <c r="K2" s="3"/>
      <c r="L2" s="3"/>
      <c r="M2" s="3"/>
      <c r="N2" s="3"/>
      <c r="O2" s="3"/>
      <c r="P2" s="3"/>
      <c r="Q2" s="3"/>
      <c r="R2" s="3"/>
      <c r="S2" s="3"/>
      <c r="T2" s="3"/>
      <c r="U2" s="3"/>
      <c r="V2" s="3"/>
      <c r="W2" s="3"/>
      <c r="X2" s="3"/>
      <c r="Y2" s="3"/>
      <c r="Z2" s="3"/>
      <c r="AA2" s="3"/>
      <c r="AB2" s="4"/>
    </row>
    <row r="3" spans="2:28" ht="11.15" customHeight="1" x14ac:dyDescent="0.3">
      <c r="B3" s="5"/>
      <c r="C3" s="6"/>
      <c r="D3" s="6"/>
      <c r="E3" s="48" t="s">
        <v>431</v>
      </c>
      <c r="F3" s="48"/>
      <c r="G3" s="48"/>
      <c r="H3" s="48"/>
      <c r="I3" s="48"/>
      <c r="J3" s="48"/>
      <c r="K3" s="48"/>
      <c r="L3" s="48"/>
      <c r="M3" s="48"/>
      <c r="N3" s="48"/>
      <c r="O3" s="48"/>
      <c r="P3" s="48"/>
      <c r="Q3" s="48"/>
      <c r="R3" s="48"/>
      <c r="S3" s="48"/>
      <c r="T3" s="48"/>
      <c r="U3" s="48"/>
      <c r="V3" s="48"/>
      <c r="W3" s="48"/>
      <c r="X3" s="48"/>
      <c r="Y3" s="48"/>
      <c r="Z3" s="48"/>
      <c r="AA3" s="48"/>
      <c r="AB3" s="53"/>
    </row>
    <row r="4" spans="2:28" ht="2.15" customHeight="1" x14ac:dyDescent="0.3">
      <c r="B4" s="5"/>
      <c r="C4" s="12"/>
      <c r="D4" s="6"/>
      <c r="E4" s="48"/>
      <c r="F4" s="67">
        <v>1</v>
      </c>
      <c r="G4" s="67">
        <v>0.95</v>
      </c>
      <c r="H4" s="67">
        <v>0.9</v>
      </c>
      <c r="I4" s="67">
        <v>0.85</v>
      </c>
      <c r="J4" s="67">
        <v>0.8</v>
      </c>
      <c r="K4" s="67">
        <v>0.75</v>
      </c>
      <c r="L4" s="67">
        <v>0.7</v>
      </c>
      <c r="M4" s="67">
        <v>0.65</v>
      </c>
      <c r="N4" s="67">
        <v>0.6</v>
      </c>
      <c r="O4" s="67">
        <v>0.55000000000000004</v>
      </c>
      <c r="P4" s="67">
        <v>0.5</v>
      </c>
      <c r="Q4" s="68">
        <v>0.45</v>
      </c>
      <c r="R4" s="67">
        <v>0.39999999999999902</v>
      </c>
      <c r="S4" s="68">
        <v>0.34999999999999898</v>
      </c>
      <c r="T4" s="67">
        <v>0.29999999999999899</v>
      </c>
      <c r="U4" s="67">
        <v>0.249999999999999</v>
      </c>
      <c r="V4" s="67">
        <v>0.19999999999999901</v>
      </c>
      <c r="W4" s="67">
        <v>0.149999999999999</v>
      </c>
      <c r="X4" s="67">
        <v>9.9999999999999006E-2</v>
      </c>
      <c r="Y4" s="67">
        <v>4.9999999999998997E-2</v>
      </c>
      <c r="Z4" s="48"/>
      <c r="AA4" s="48"/>
      <c r="AB4" s="53"/>
    </row>
    <row r="5" spans="2:28" ht="13" x14ac:dyDescent="0.3">
      <c r="B5" s="5"/>
      <c r="C5" s="12"/>
      <c r="D5" s="6"/>
      <c r="E5" s="69" t="s">
        <v>140</v>
      </c>
      <c r="F5" s="70">
        <v>100</v>
      </c>
      <c r="G5" s="70">
        <v>95</v>
      </c>
      <c r="H5" s="70">
        <v>90</v>
      </c>
      <c r="I5" s="70">
        <v>85</v>
      </c>
      <c r="J5" s="70">
        <v>80</v>
      </c>
      <c r="K5" s="70">
        <v>75</v>
      </c>
      <c r="L5" s="70">
        <v>70</v>
      </c>
      <c r="M5" s="70">
        <v>65</v>
      </c>
      <c r="N5" s="70">
        <v>60</v>
      </c>
      <c r="O5" s="70">
        <v>55</v>
      </c>
      <c r="P5" s="70">
        <v>50</v>
      </c>
      <c r="Q5" s="70">
        <v>45</v>
      </c>
      <c r="R5" s="70">
        <v>40</v>
      </c>
      <c r="S5" s="70">
        <v>35</v>
      </c>
      <c r="T5" s="70">
        <v>30</v>
      </c>
      <c r="U5" s="70">
        <v>25</v>
      </c>
      <c r="V5" s="70">
        <v>20</v>
      </c>
      <c r="W5" s="70">
        <v>15</v>
      </c>
      <c r="X5" s="70">
        <v>10</v>
      </c>
      <c r="Y5" s="70">
        <v>5</v>
      </c>
      <c r="Z5" s="70">
        <v>0</v>
      </c>
      <c r="AA5" s="70"/>
      <c r="AB5" s="71" t="e">
        <f>'Zero value Calc'!T15</f>
        <v>#DIV/0!</v>
      </c>
    </row>
    <row r="6" spans="2:28" ht="24.65" customHeight="1" x14ac:dyDescent="0.3">
      <c r="B6" s="5"/>
      <c r="C6" s="6"/>
      <c r="D6" s="6"/>
      <c r="E6" s="69" t="s">
        <v>141</v>
      </c>
      <c r="F6" s="70">
        <v>0</v>
      </c>
      <c r="G6" s="70">
        <v>0.05</v>
      </c>
      <c r="H6" s="70">
        <v>0.1</v>
      </c>
      <c r="I6" s="70">
        <v>0.15</v>
      </c>
      <c r="J6" s="70">
        <v>0.2</v>
      </c>
      <c r="K6" s="70">
        <v>0.25</v>
      </c>
      <c r="L6" s="70">
        <v>0.3</v>
      </c>
      <c r="M6" s="70">
        <v>0.35</v>
      </c>
      <c r="N6" s="70">
        <v>0.4</v>
      </c>
      <c r="O6" s="70">
        <v>0.45</v>
      </c>
      <c r="P6" s="70">
        <v>0.5</v>
      </c>
      <c r="Q6" s="70">
        <v>0.55000000000000004</v>
      </c>
      <c r="R6" s="70">
        <v>0.6</v>
      </c>
      <c r="S6" s="70">
        <v>0.65</v>
      </c>
      <c r="T6" s="70">
        <v>0.7</v>
      </c>
      <c r="U6" s="70">
        <v>0.75</v>
      </c>
      <c r="V6" s="70">
        <v>0.8</v>
      </c>
      <c r="W6" s="70">
        <v>0.85</v>
      </c>
      <c r="X6" s="70">
        <v>0.9</v>
      </c>
      <c r="Y6" s="70">
        <v>0.95</v>
      </c>
      <c r="Z6" s="70">
        <v>1</v>
      </c>
      <c r="AA6" s="70"/>
      <c r="AB6" s="72" t="e">
        <f>1-AB5/100</f>
        <v>#DIV/0!</v>
      </c>
    </row>
    <row r="7" spans="2:28" ht="11.15" customHeight="1" x14ac:dyDescent="0.3">
      <c r="B7" s="5"/>
      <c r="C7" s="6"/>
      <c r="D7" s="6"/>
      <c r="E7" s="69" t="s">
        <v>151</v>
      </c>
      <c r="F7" s="73">
        <v>1</v>
      </c>
      <c r="G7" s="73">
        <v>0.95</v>
      </c>
      <c r="H7" s="73">
        <v>0.9</v>
      </c>
      <c r="I7" s="73">
        <v>0.85</v>
      </c>
      <c r="J7" s="73">
        <v>0.8</v>
      </c>
      <c r="K7" s="73">
        <v>0.75</v>
      </c>
      <c r="L7" s="73">
        <v>0.7</v>
      </c>
      <c r="M7" s="73">
        <v>0.65</v>
      </c>
      <c r="N7" s="73">
        <v>0.6</v>
      </c>
      <c r="O7" s="73">
        <v>0.55000000000000004</v>
      </c>
      <c r="P7" s="73">
        <v>0.5</v>
      </c>
      <c r="Q7" s="73">
        <v>0.45</v>
      </c>
      <c r="R7" s="73">
        <v>0.39999999999999902</v>
      </c>
      <c r="S7" s="73">
        <v>0.34999999999999898</v>
      </c>
      <c r="T7" s="73">
        <v>0.29999999999999899</v>
      </c>
      <c r="U7" s="73">
        <v>0.249999999999999</v>
      </c>
      <c r="V7" s="73">
        <v>0.19999999999999901</v>
      </c>
      <c r="W7" s="73">
        <v>0.149999999999999</v>
      </c>
      <c r="X7" s="73">
        <v>9.9999999999999006E-2</v>
      </c>
      <c r="Y7" s="73">
        <v>4.9999999999998997E-2</v>
      </c>
      <c r="Z7" s="73">
        <v>-9.9920072216264108E-16</v>
      </c>
      <c r="AA7" s="70"/>
      <c r="AB7" s="72" t="e">
        <f>AB5/100</f>
        <v>#DIV/0!</v>
      </c>
    </row>
    <row r="8" spans="2:28" ht="11.15" customHeight="1" x14ac:dyDescent="0.3">
      <c r="B8" s="5"/>
      <c r="C8" s="6"/>
      <c r="D8" s="6"/>
      <c r="E8" s="69" t="s">
        <v>142</v>
      </c>
      <c r="F8" s="73">
        <f>('Stage 3'!$K$36)*'Graph Calculations'!F6</f>
        <v>0</v>
      </c>
      <c r="G8" s="73">
        <f>('Stage 3'!$K$36)*'Graph Calculations'!G6</f>
        <v>0</v>
      </c>
      <c r="H8" s="73">
        <f>('Stage 3'!$K$36)*'Graph Calculations'!H6</f>
        <v>0</v>
      </c>
      <c r="I8" s="73">
        <f>('Stage 3'!$K$36)*'Graph Calculations'!I6</f>
        <v>0</v>
      </c>
      <c r="J8" s="73">
        <f>('Stage 3'!$K$36)*'Graph Calculations'!J6</f>
        <v>0</v>
      </c>
      <c r="K8" s="73">
        <f>('Stage 3'!$K$36)*'Graph Calculations'!K6</f>
        <v>0</v>
      </c>
      <c r="L8" s="73">
        <f>('Stage 3'!$K$36)*'Graph Calculations'!L6</f>
        <v>0</v>
      </c>
      <c r="M8" s="73">
        <f>('Stage 3'!$K$36)*'Graph Calculations'!M6</f>
        <v>0</v>
      </c>
      <c r="N8" s="73">
        <f>('Stage 3'!$K$36)*'Graph Calculations'!N6</f>
        <v>0</v>
      </c>
      <c r="O8" s="73">
        <f>('Stage 3'!$K$36)*'Graph Calculations'!O6</f>
        <v>0</v>
      </c>
      <c r="P8" s="73">
        <f>('Stage 3'!$K$36)*'Graph Calculations'!P6</f>
        <v>0</v>
      </c>
      <c r="Q8" s="73">
        <f>('Stage 3'!$K$36)*'Graph Calculations'!Q6</f>
        <v>0</v>
      </c>
      <c r="R8" s="73">
        <f>('Stage 3'!$K$36)*'Graph Calculations'!R6</f>
        <v>0</v>
      </c>
      <c r="S8" s="73">
        <f>('Stage 3'!$K$36)*'Graph Calculations'!S6</f>
        <v>0</v>
      </c>
      <c r="T8" s="73">
        <f>('Stage 3'!$K$36)*'Graph Calculations'!T6</f>
        <v>0</v>
      </c>
      <c r="U8" s="73">
        <f>('Stage 3'!$K$36)*'Graph Calculations'!U6</f>
        <v>0</v>
      </c>
      <c r="V8" s="73">
        <f>('Stage 3'!$K$36)*'Graph Calculations'!V6</f>
        <v>0</v>
      </c>
      <c r="W8" s="73">
        <f>('Stage 3'!$K$36)*'Graph Calculations'!W6</f>
        <v>0</v>
      </c>
      <c r="X8" s="73">
        <f>('Stage 3'!$K$36)*'Graph Calculations'!X6</f>
        <v>0</v>
      </c>
      <c r="Y8" s="73">
        <f>('Stage 3'!$K$36)*'Graph Calculations'!Y6</f>
        <v>0</v>
      </c>
      <c r="Z8" s="73">
        <f>('Stage 3'!$K$36)*'Graph Calculations'!Z6</f>
        <v>0</v>
      </c>
      <c r="AA8" s="70"/>
      <c r="AB8" s="71" t="e">
        <f>('Stage 3'!$K$36)*'Graph Calculations'!AB6</f>
        <v>#DIV/0!</v>
      </c>
    </row>
    <row r="9" spans="2:28" ht="11.15" customHeight="1" x14ac:dyDescent="0.3">
      <c r="B9" s="5"/>
      <c r="C9" s="6"/>
      <c r="D9" s="6"/>
      <c r="E9" s="69" t="s">
        <v>152</v>
      </c>
      <c r="F9" s="73">
        <f>('Zero value Calc'!$K$16*'Data Tables'!$O$9)*F7</f>
        <v>0</v>
      </c>
      <c r="G9" s="73">
        <f>('Zero value Calc'!$K$16*'Data Tables'!$O$9)*G7</f>
        <v>0</v>
      </c>
      <c r="H9" s="73">
        <f>('Zero value Calc'!$K$16*'Data Tables'!$O$9)*H7</f>
        <v>0</v>
      </c>
      <c r="I9" s="73">
        <f>('Zero value Calc'!$K$16*'Data Tables'!$O$9)*I7</f>
        <v>0</v>
      </c>
      <c r="J9" s="73">
        <f>('Zero value Calc'!$K$16*'Data Tables'!$O$9)*J7</f>
        <v>0</v>
      </c>
      <c r="K9" s="73">
        <f>('Zero value Calc'!$K$16*'Data Tables'!$O$9)*K7</f>
        <v>0</v>
      </c>
      <c r="L9" s="73">
        <f>('Zero value Calc'!$K$16*'Data Tables'!$O$9)*L7</f>
        <v>0</v>
      </c>
      <c r="M9" s="73">
        <f>('Zero value Calc'!$K$16*'Data Tables'!$O$9)*M7</f>
        <v>0</v>
      </c>
      <c r="N9" s="73">
        <f>('Zero value Calc'!$K$16*'Data Tables'!$O$9)*N7</f>
        <v>0</v>
      </c>
      <c r="O9" s="73">
        <f>('Zero value Calc'!$K$16*'Data Tables'!$O$9)*O7</f>
        <v>0</v>
      </c>
      <c r="P9" s="73">
        <f>('Zero value Calc'!$K$16*'Data Tables'!$O$9)*P7</f>
        <v>0</v>
      </c>
      <c r="Q9" s="73">
        <f>('Zero value Calc'!$K$16*'Data Tables'!$O$9)*Q7</f>
        <v>0</v>
      </c>
      <c r="R9" s="73">
        <f>('Zero value Calc'!$K$16*'Data Tables'!$O$9)*R7</f>
        <v>0</v>
      </c>
      <c r="S9" s="73">
        <f>('Zero value Calc'!$K$16*'Data Tables'!$O$9)*S7</f>
        <v>0</v>
      </c>
      <c r="T9" s="73">
        <f>('Zero value Calc'!$K$16*'Data Tables'!$O$9)*T7</f>
        <v>0</v>
      </c>
      <c r="U9" s="73">
        <f>('Zero value Calc'!$K$16*'Data Tables'!$O$9)*U7</f>
        <v>0</v>
      </c>
      <c r="V9" s="73">
        <f>('Zero value Calc'!$K$16*'Data Tables'!$O$9)*V7</f>
        <v>0</v>
      </c>
      <c r="W9" s="73">
        <f>('Zero value Calc'!$K$16*'Data Tables'!$O$9)*W7</f>
        <v>0</v>
      </c>
      <c r="X9" s="73">
        <f>('Zero value Calc'!$K$16*'Data Tables'!$O$9)*X7</f>
        <v>0</v>
      </c>
      <c r="Y9" s="73">
        <f>('Zero value Calc'!$K$16*'Data Tables'!$O$9)*Y7</f>
        <v>0</v>
      </c>
      <c r="Z9" s="73">
        <f>('Zero value Calc'!$K$16*'Data Tables'!$O$9)*Z7</f>
        <v>0</v>
      </c>
      <c r="AA9" s="73"/>
      <c r="AB9" s="71" t="e">
        <f>('Zero value Calc'!$K$16*'Data Tables'!$O$9)*AB7</f>
        <v>#DIV/0!</v>
      </c>
    </row>
    <row r="10" spans="2:28" ht="16" customHeight="1" x14ac:dyDescent="0.3">
      <c r="B10" s="5"/>
      <c r="C10" s="11"/>
      <c r="D10" s="6"/>
      <c r="E10" s="69" t="s">
        <v>143</v>
      </c>
      <c r="F10" s="73">
        <f>SUM(F8:F9)</f>
        <v>0</v>
      </c>
      <c r="G10" s="73">
        <f t="shared" ref="G10:Z10" si="0">SUM(G8:G9)</f>
        <v>0</v>
      </c>
      <c r="H10" s="73">
        <f t="shared" si="0"/>
        <v>0</v>
      </c>
      <c r="I10" s="73">
        <f>SUM(I8:I9)</f>
        <v>0</v>
      </c>
      <c r="J10" s="73">
        <f t="shared" si="0"/>
        <v>0</v>
      </c>
      <c r="K10" s="73">
        <f t="shared" si="0"/>
        <v>0</v>
      </c>
      <c r="L10" s="73">
        <f>SUM(L8:L9)</f>
        <v>0</v>
      </c>
      <c r="M10" s="73">
        <f t="shared" si="0"/>
        <v>0</v>
      </c>
      <c r="N10" s="73">
        <f t="shared" si="0"/>
        <v>0</v>
      </c>
      <c r="O10" s="73">
        <f t="shared" si="0"/>
        <v>0</v>
      </c>
      <c r="P10" s="73">
        <f t="shared" si="0"/>
        <v>0</v>
      </c>
      <c r="Q10" s="73">
        <f t="shared" si="0"/>
        <v>0</v>
      </c>
      <c r="R10" s="73">
        <f t="shared" si="0"/>
        <v>0</v>
      </c>
      <c r="S10" s="73">
        <f t="shared" si="0"/>
        <v>0</v>
      </c>
      <c r="T10" s="73">
        <f t="shared" si="0"/>
        <v>0</v>
      </c>
      <c r="U10" s="73">
        <f t="shared" si="0"/>
        <v>0</v>
      </c>
      <c r="V10" s="73">
        <f t="shared" si="0"/>
        <v>0</v>
      </c>
      <c r="W10" s="73">
        <f t="shared" si="0"/>
        <v>0</v>
      </c>
      <c r="X10" s="73">
        <f t="shared" si="0"/>
        <v>0</v>
      </c>
      <c r="Y10" s="73">
        <f t="shared" si="0"/>
        <v>0</v>
      </c>
      <c r="Z10" s="73">
        <f t="shared" si="0"/>
        <v>0</v>
      </c>
      <c r="AA10" s="73"/>
      <c r="AB10" s="71" t="e">
        <f t="shared" ref="AB10" si="1">SUM(AB8:AB9)</f>
        <v>#DIV/0!</v>
      </c>
    </row>
    <row r="11" spans="2:28" ht="12" customHeight="1" x14ac:dyDescent="0.3">
      <c r="B11" s="5"/>
      <c r="C11" s="6"/>
      <c r="D11" s="6"/>
      <c r="E11" s="69" t="s">
        <v>144</v>
      </c>
      <c r="F11" s="73">
        <f>F10-'Zero value Calc'!$K$19</f>
        <v>0</v>
      </c>
      <c r="G11" s="73">
        <f>G10-'Zero value Calc'!$K$19</f>
        <v>0</v>
      </c>
      <c r="H11" s="73">
        <f>H10-'Zero value Calc'!$K$19</f>
        <v>0</v>
      </c>
      <c r="I11" s="73">
        <f>I10-'Zero value Calc'!$K$19</f>
        <v>0</v>
      </c>
      <c r="J11" s="73">
        <f>J10-'Zero value Calc'!$K$19</f>
        <v>0</v>
      </c>
      <c r="K11" s="73">
        <f>K10-'Zero value Calc'!$K$19</f>
        <v>0</v>
      </c>
      <c r="L11" s="73">
        <f>L10-'Zero value Calc'!$K$19</f>
        <v>0</v>
      </c>
      <c r="M11" s="73">
        <f>M10-'Zero value Calc'!$K$19</f>
        <v>0</v>
      </c>
      <c r="N11" s="73">
        <f>N10-'Zero value Calc'!$K$19</f>
        <v>0</v>
      </c>
      <c r="O11" s="73">
        <f>O10-'Zero value Calc'!$K$19</f>
        <v>0</v>
      </c>
      <c r="P11" s="73">
        <f>P10-'Zero value Calc'!$K$19</f>
        <v>0</v>
      </c>
      <c r="Q11" s="73">
        <f>Q10-'Zero value Calc'!$K$19</f>
        <v>0</v>
      </c>
      <c r="R11" s="73">
        <f>R10-'Zero value Calc'!$K$19</f>
        <v>0</v>
      </c>
      <c r="S11" s="73">
        <f>S10-'Zero value Calc'!$K$19</f>
        <v>0</v>
      </c>
      <c r="T11" s="73">
        <f>T10-'Zero value Calc'!$K$19</f>
        <v>0</v>
      </c>
      <c r="U11" s="73">
        <f>U10-'Zero value Calc'!$K$19</f>
        <v>0</v>
      </c>
      <c r="V11" s="73">
        <f>V10-'Zero value Calc'!$K$19</f>
        <v>0</v>
      </c>
      <c r="W11" s="73">
        <f>W10-'Zero value Calc'!$K$19</f>
        <v>0</v>
      </c>
      <c r="X11" s="73">
        <f>X10-'Zero value Calc'!$K$19</f>
        <v>0</v>
      </c>
      <c r="Y11" s="73">
        <f>Y10-'Zero value Calc'!$K$19</f>
        <v>0</v>
      </c>
      <c r="Z11" s="73">
        <f>Z10-'Zero value Calc'!$K$19</f>
        <v>0</v>
      </c>
      <c r="AA11" s="73"/>
      <c r="AB11" s="71" t="e">
        <f>AB10-'Zero value Calc'!$K$19</f>
        <v>#DIV/0!</v>
      </c>
    </row>
    <row r="12" spans="2:28" ht="13" x14ac:dyDescent="0.3">
      <c r="B12" s="5"/>
      <c r="C12" s="6"/>
      <c r="D12" s="6"/>
      <c r="E12" s="69" t="s">
        <v>145</v>
      </c>
      <c r="F12" s="73" t="e">
        <f>('Zero value Calc'!$K$15/'Zero value Calc'!$K$16)*(F6*'Zero value Calc'!$K$16)</f>
        <v>#DIV/0!</v>
      </c>
      <c r="G12" s="73" t="e">
        <f>('Zero value Calc'!$K$15/'Zero value Calc'!$K$16)*(G6*'Zero value Calc'!$K$16)</f>
        <v>#DIV/0!</v>
      </c>
      <c r="H12" s="73" t="e">
        <f>('Zero value Calc'!$K$15/'Zero value Calc'!$K$16)*(H6*'Zero value Calc'!$K$16)</f>
        <v>#DIV/0!</v>
      </c>
      <c r="I12" s="73" t="e">
        <f>('Zero value Calc'!$K$15/'Zero value Calc'!$K$16)*(I6*'Zero value Calc'!$K$16)</f>
        <v>#DIV/0!</v>
      </c>
      <c r="J12" s="73" t="e">
        <f>('Zero value Calc'!$K$15/'Zero value Calc'!$K$16)*(J6*'Zero value Calc'!$K$16)</f>
        <v>#DIV/0!</v>
      </c>
      <c r="K12" s="73" t="e">
        <f>('Zero value Calc'!$K$15/'Zero value Calc'!$K$16)*(K6*'Zero value Calc'!$K$16)</f>
        <v>#DIV/0!</v>
      </c>
      <c r="L12" s="73" t="e">
        <f>('Zero value Calc'!$K$15/'Zero value Calc'!$K$16)*(L6*'Zero value Calc'!$K$16)</f>
        <v>#DIV/0!</v>
      </c>
      <c r="M12" s="73" t="e">
        <f>('Zero value Calc'!$K$15/'Zero value Calc'!$K$16)*(M6*'Zero value Calc'!$K$16)</f>
        <v>#DIV/0!</v>
      </c>
      <c r="N12" s="73" t="e">
        <f>('Zero value Calc'!$K$15/'Zero value Calc'!$K$16)*(N6*'Zero value Calc'!$K$16)</f>
        <v>#DIV/0!</v>
      </c>
      <c r="O12" s="73" t="e">
        <f>('Zero value Calc'!$K$15/'Zero value Calc'!$K$16)*(O6*'Zero value Calc'!$K$16)</f>
        <v>#DIV/0!</v>
      </c>
      <c r="P12" s="73" t="e">
        <f>('Zero value Calc'!$K$15/'Zero value Calc'!$K$16)*(P6*'Zero value Calc'!$K$16)</f>
        <v>#DIV/0!</v>
      </c>
      <c r="Q12" s="73" t="e">
        <f>('Zero value Calc'!$K$15/'Zero value Calc'!$K$16)*(Q6*'Zero value Calc'!$K$16)</f>
        <v>#DIV/0!</v>
      </c>
      <c r="R12" s="73" t="e">
        <f>('Zero value Calc'!$K$15/'Zero value Calc'!$K$16)*(R6*'Zero value Calc'!$K$16)</f>
        <v>#DIV/0!</v>
      </c>
      <c r="S12" s="73" t="e">
        <f>('Zero value Calc'!$K$15/'Zero value Calc'!$K$16)*(S6*'Zero value Calc'!$K$16)</f>
        <v>#DIV/0!</v>
      </c>
      <c r="T12" s="73" t="e">
        <f>('Zero value Calc'!$K$15/'Zero value Calc'!$K$16)*(T6*'Zero value Calc'!$K$16)</f>
        <v>#DIV/0!</v>
      </c>
      <c r="U12" s="73" t="e">
        <f>('Zero value Calc'!$K$15/'Zero value Calc'!$K$16)*(U6*'Zero value Calc'!$K$16)</f>
        <v>#DIV/0!</v>
      </c>
      <c r="V12" s="73" t="e">
        <f>('Zero value Calc'!$K$15/'Zero value Calc'!$K$16)*(V6*'Zero value Calc'!$K$16)</f>
        <v>#DIV/0!</v>
      </c>
      <c r="W12" s="73" t="e">
        <f>('Zero value Calc'!$K$15/'Zero value Calc'!$K$16)*(W6*'Zero value Calc'!$K$16)</f>
        <v>#DIV/0!</v>
      </c>
      <c r="X12" s="73" t="e">
        <f>('Zero value Calc'!$K$15/'Zero value Calc'!$K$16)*(X6*'Zero value Calc'!$K$16)</f>
        <v>#DIV/0!</v>
      </c>
      <c r="Y12" s="73" t="e">
        <f>('Zero value Calc'!$K$15/'Zero value Calc'!$K$16)*(Y6*'Zero value Calc'!$K$16)</f>
        <v>#DIV/0!</v>
      </c>
      <c r="Z12" s="73" t="e">
        <f>('Zero value Calc'!$K$15/'Zero value Calc'!$K$16)*(Z6*'Zero value Calc'!$K$16)</f>
        <v>#DIV/0!</v>
      </c>
      <c r="AA12" s="73"/>
      <c r="AB12" s="71" t="e">
        <f>('Zero value Calc'!$K$15/'Zero value Calc'!$K$16)*(AB6*'Zero value Calc'!$K$16)</f>
        <v>#DIV/0!</v>
      </c>
    </row>
    <row r="13" spans="2:28" ht="13" x14ac:dyDescent="0.3">
      <c r="B13" s="5"/>
      <c r="C13" s="6"/>
      <c r="D13" s="6"/>
      <c r="E13" s="69" t="s">
        <v>50</v>
      </c>
      <c r="F13" s="73" t="e">
        <f>((((F12*(IF('Zero value Calc'!$G$11="House",'Stage 1'!$V$12,0)+IF('Zero value Calc'!$G$11="Hotel / quest house",'Stage 1'!$V$18,0))*'Stage 1'!$V$27)*'Stage 1'!$K$46)/1000000)*365.25)</f>
        <v>#DIV/0!</v>
      </c>
      <c r="G13" s="73" t="e">
        <f>((((G12*(IF('Zero value Calc'!$G$11="House",'Stage 1'!$V$12,0)+IF('Zero value Calc'!$G$11="Hotel / quest house",'Stage 1'!$V$18,0))*'Stage 1'!$V$27)*'Stage 1'!$K$46)/1000000)*365.25)</f>
        <v>#DIV/0!</v>
      </c>
      <c r="H13" s="73" t="e">
        <f>((((H12*(IF('Zero value Calc'!$G$11="House",'Stage 1'!$V$12,0)+IF('Zero value Calc'!$G$11="Hotel / quest house",'Stage 1'!$V$18,0))*'Stage 1'!$V$27)*'Stage 1'!$K$46)/1000000)*365.25)</f>
        <v>#DIV/0!</v>
      </c>
      <c r="I13" s="73" t="e">
        <f>((((I12*(IF('Zero value Calc'!$G$11="House",'Stage 1'!$V$12,0)+IF('Zero value Calc'!$G$11="Hotel / quest house",'Stage 1'!$V$18,0))*'Stage 1'!$V$27)*'Stage 1'!$K$46)/1000000)*365.25)</f>
        <v>#DIV/0!</v>
      </c>
      <c r="J13" s="73" t="e">
        <f>((((J12*(IF('Zero value Calc'!$G$11="House",'Stage 1'!$V$12,0)+IF('Zero value Calc'!$G$11="Hotel / quest house",'Stage 1'!$V$18,0))*'Stage 1'!$V$27)*'Stage 1'!$K$46)/1000000)*365.25)</f>
        <v>#DIV/0!</v>
      </c>
      <c r="K13" s="73" t="e">
        <f>((((K12*(IF('Zero value Calc'!$G$11="House",'Stage 1'!$V$12,0)+IF('Zero value Calc'!$G$11="Hotel / quest house",'Stage 1'!$V$18,0))*'Stage 1'!$V$27)*'Stage 1'!$K$46)/1000000)*365.25)</f>
        <v>#DIV/0!</v>
      </c>
      <c r="L13" s="73" t="e">
        <f>((((L12*(IF('Zero value Calc'!$G$11="House",'Stage 1'!$V$12,0)+IF('Zero value Calc'!$G$11="Hotel / quest house",'Stage 1'!$V$18,0))*'Stage 1'!$V$27)*'Stage 1'!$K$46)/1000000)*365.25)</f>
        <v>#DIV/0!</v>
      </c>
      <c r="M13" s="73" t="e">
        <f>((((M12*(IF('Zero value Calc'!$G$11="House",'Stage 1'!$V$12,0)+IF('Zero value Calc'!$G$11="Hotel / quest house",'Stage 1'!$V$18,0))*'Stage 1'!$V$27)*'Stage 1'!$K$46)/1000000)*365.25)</f>
        <v>#DIV/0!</v>
      </c>
      <c r="N13" s="73" t="e">
        <f>((((N12*(IF('Zero value Calc'!$G$11="House",'Stage 1'!$V$12,0)+IF('Zero value Calc'!$G$11="Hotel / quest house",'Stage 1'!$V$18,0))*'Stage 1'!$V$27)*'Stage 1'!$K$46)/1000000)*365.25)</f>
        <v>#DIV/0!</v>
      </c>
      <c r="O13" s="73" t="e">
        <f>((((O12*(IF('Zero value Calc'!$G$11="House",'Stage 1'!$V$12,0)+IF('Zero value Calc'!$G$11="Hotel / quest house",'Stage 1'!$V$18,0))*'Stage 1'!$V$27)*'Stage 1'!$K$46)/1000000)*365.25)</f>
        <v>#DIV/0!</v>
      </c>
      <c r="P13" s="73" t="e">
        <f>((((P12*(IF('Zero value Calc'!$G$11="House",'Stage 1'!$V$12,0)+IF('Zero value Calc'!$G$11="Hotel / quest house",'Stage 1'!$V$18,0))*'Stage 1'!$V$27)*'Stage 1'!$K$46)/1000000)*365.25)</f>
        <v>#DIV/0!</v>
      </c>
      <c r="Q13" s="73" t="e">
        <f>((((Q12*(IF('Zero value Calc'!$G$11="House",'Stage 1'!$V$12,0)+IF('Zero value Calc'!$G$11="Hotel / quest house",'Stage 1'!$V$18,0))*'Stage 1'!$V$27)*'Stage 1'!$K$46)/1000000)*365.25)</f>
        <v>#DIV/0!</v>
      </c>
      <c r="R13" s="73" t="e">
        <f>((((R12*(IF('Zero value Calc'!$G$11="House",'Stage 1'!$V$12,0)+IF('Zero value Calc'!$G$11="Hotel / quest house",'Stage 1'!$V$18,0))*'Stage 1'!$V$27)*'Stage 1'!$K$46)/1000000)*365.25)</f>
        <v>#DIV/0!</v>
      </c>
      <c r="S13" s="73" t="e">
        <f>((((S12*(IF('Zero value Calc'!$G$11="House",'Stage 1'!$V$12,0)+IF('Zero value Calc'!$G$11="Hotel / quest house",'Stage 1'!$V$18,0))*'Stage 1'!$V$27)*'Stage 1'!$K$46)/1000000)*365.25)</f>
        <v>#DIV/0!</v>
      </c>
      <c r="T13" s="73" t="e">
        <f>((((T12*(IF('Zero value Calc'!$G$11="House",'Stage 1'!$V$12,0)+IF('Zero value Calc'!$G$11="Hotel / quest house",'Stage 1'!$V$18,0))*'Stage 1'!$V$27)*'Stage 1'!$K$46)/1000000)*365.25)</f>
        <v>#DIV/0!</v>
      </c>
      <c r="U13" s="73" t="e">
        <f>((((U12*(IF('Zero value Calc'!$G$11="House",'Stage 1'!$V$12,0)+IF('Zero value Calc'!$G$11="Hotel / quest house",'Stage 1'!$V$18,0))*'Stage 1'!$V$27)*'Stage 1'!$K$46)/1000000)*365.25)</f>
        <v>#DIV/0!</v>
      </c>
      <c r="V13" s="73" t="e">
        <f>((((V12*(IF('Zero value Calc'!$G$11="House",'Stage 1'!$V$12,0)+IF('Zero value Calc'!$G$11="Hotel / quest house",'Stage 1'!$V$18,0))*'Stage 1'!$V$27)*'Stage 1'!$K$46)/1000000)*365.25)</f>
        <v>#DIV/0!</v>
      </c>
      <c r="W13" s="73" t="e">
        <f>((((W12*(IF('Zero value Calc'!$G$11="House",'Stage 1'!$V$12,0)+IF('Zero value Calc'!$G$11="Hotel / quest house",'Stage 1'!$V$18,0))*'Stage 1'!$V$27)*'Stage 1'!$K$46)/1000000)*365.25)</f>
        <v>#DIV/0!</v>
      </c>
      <c r="X13" s="73" t="e">
        <f>((((X12*(IF('Zero value Calc'!$G$11="House",'Stage 1'!$V$12,0)+IF('Zero value Calc'!$G$11="Hotel / quest house",'Stage 1'!$V$18,0))*'Stage 1'!$V$27)*'Stage 1'!$K$46)/1000000)*365.25)</f>
        <v>#DIV/0!</v>
      </c>
      <c r="Y13" s="73" t="e">
        <f>((((Y12*(IF('Zero value Calc'!$G$11="House",'Stage 1'!$V$12,0)+IF('Zero value Calc'!$G$11="Hotel / quest house",'Stage 1'!$V$18,0))*'Stage 1'!$V$27)*'Stage 1'!$K$46)/1000000)*365.25)</f>
        <v>#DIV/0!</v>
      </c>
      <c r="Z13" s="73" t="e">
        <f>((((Z12*(IF('Zero value Calc'!$G$11="House",'Stage 1'!$V$12,0)+IF('Zero value Calc'!$G$11="Hotel / quest house",'Stage 1'!$V$18,0))*'Stage 1'!$V$27)*'Stage 1'!$K$46)/1000000)*365.25)</f>
        <v>#DIV/0!</v>
      </c>
      <c r="AA13" s="73"/>
      <c r="AB13" s="74" t="e">
        <f>((((AB12*(IF('Zero value Calc'!$G$11="House",'Stage 1'!$V$12,0)+IF('Zero value Calc'!$G$11="Hotel / quest house",'Stage 1'!$V$18,0)))*'Stage 1'!$V$27)*'Stage 1'!$K$46)/1000000)*365.25</f>
        <v>#DIV/0!</v>
      </c>
    </row>
    <row r="14" spans="2:28" ht="12" customHeight="1" x14ac:dyDescent="0.3">
      <c r="B14" s="5"/>
      <c r="C14" s="6"/>
      <c r="D14" s="6"/>
      <c r="E14" s="69" t="s">
        <v>51</v>
      </c>
      <c r="F14" s="73" t="e">
        <f>F11+F13</f>
        <v>#DIV/0!</v>
      </c>
      <c r="G14" s="73" t="e">
        <f t="shared" ref="G14:Z14" si="2">G11+G13</f>
        <v>#DIV/0!</v>
      </c>
      <c r="H14" s="73" t="e">
        <f t="shared" si="2"/>
        <v>#DIV/0!</v>
      </c>
      <c r="I14" s="73" t="e">
        <f t="shared" si="2"/>
        <v>#DIV/0!</v>
      </c>
      <c r="J14" s="73" t="e">
        <f t="shared" si="2"/>
        <v>#DIV/0!</v>
      </c>
      <c r="K14" s="73" t="e">
        <f t="shared" si="2"/>
        <v>#DIV/0!</v>
      </c>
      <c r="L14" s="73" t="e">
        <f t="shared" si="2"/>
        <v>#DIV/0!</v>
      </c>
      <c r="M14" s="73" t="e">
        <f t="shared" si="2"/>
        <v>#DIV/0!</v>
      </c>
      <c r="N14" s="73" t="e">
        <f t="shared" si="2"/>
        <v>#DIV/0!</v>
      </c>
      <c r="O14" s="73" t="e">
        <f t="shared" si="2"/>
        <v>#DIV/0!</v>
      </c>
      <c r="P14" s="73" t="e">
        <f t="shared" si="2"/>
        <v>#DIV/0!</v>
      </c>
      <c r="Q14" s="73" t="e">
        <f t="shared" si="2"/>
        <v>#DIV/0!</v>
      </c>
      <c r="R14" s="73" t="e">
        <f t="shared" si="2"/>
        <v>#DIV/0!</v>
      </c>
      <c r="S14" s="73" t="e">
        <f t="shared" si="2"/>
        <v>#DIV/0!</v>
      </c>
      <c r="T14" s="73" t="e">
        <f t="shared" si="2"/>
        <v>#DIV/0!</v>
      </c>
      <c r="U14" s="73" t="e">
        <f t="shared" si="2"/>
        <v>#DIV/0!</v>
      </c>
      <c r="V14" s="73" t="e">
        <f t="shared" si="2"/>
        <v>#DIV/0!</v>
      </c>
      <c r="W14" s="73" t="e">
        <f t="shared" si="2"/>
        <v>#DIV/0!</v>
      </c>
      <c r="X14" s="73" t="e">
        <f t="shared" si="2"/>
        <v>#DIV/0!</v>
      </c>
      <c r="Y14" s="73" t="e">
        <f t="shared" si="2"/>
        <v>#DIV/0!</v>
      </c>
      <c r="Z14" s="73" t="e">
        <f t="shared" si="2"/>
        <v>#DIV/0!</v>
      </c>
      <c r="AA14" s="73"/>
      <c r="AB14" s="71" t="e">
        <f t="shared" ref="AB14" si="3">AB11+AB13</f>
        <v>#DIV/0!</v>
      </c>
    </row>
    <row r="15" spans="2:28" ht="6.65" customHeight="1" x14ac:dyDescent="0.3">
      <c r="B15" s="5"/>
      <c r="C15" s="6"/>
      <c r="D15" s="6"/>
      <c r="E15" s="125"/>
      <c r="F15" s="65"/>
      <c r="G15" s="65"/>
      <c r="H15" s="65"/>
      <c r="I15" s="65"/>
      <c r="J15" s="65"/>
      <c r="K15" s="65"/>
      <c r="L15" s="65"/>
      <c r="M15" s="65"/>
      <c r="N15" s="65"/>
      <c r="O15" s="65"/>
      <c r="P15" s="65"/>
      <c r="Q15" s="65"/>
      <c r="R15" s="65"/>
      <c r="S15" s="65"/>
      <c r="T15" s="65"/>
      <c r="U15" s="65"/>
      <c r="V15" s="65"/>
      <c r="W15" s="65"/>
      <c r="X15" s="65"/>
      <c r="Y15" s="65"/>
      <c r="Z15" s="65"/>
      <c r="AA15" s="65"/>
      <c r="AB15" s="126"/>
    </row>
    <row r="16" spans="2:28" ht="12" customHeight="1" x14ac:dyDescent="0.3">
      <c r="B16" s="5"/>
      <c r="C16" s="6"/>
      <c r="D16" s="6"/>
      <c r="E16" s="125" t="s">
        <v>432</v>
      </c>
      <c r="F16" s="65"/>
      <c r="G16" s="65"/>
      <c r="H16" s="65"/>
      <c r="I16" s="65"/>
      <c r="J16" s="65"/>
      <c r="K16" s="65"/>
      <c r="L16" s="65"/>
      <c r="M16" s="65"/>
      <c r="N16" s="65"/>
      <c r="O16" s="65"/>
      <c r="P16" s="65"/>
      <c r="Q16" s="65"/>
      <c r="R16" s="65"/>
      <c r="S16" s="65"/>
      <c r="T16" s="65"/>
      <c r="U16" s="65"/>
      <c r="V16" s="65"/>
      <c r="W16" s="65"/>
      <c r="X16" s="65"/>
      <c r="Y16" s="65"/>
      <c r="Z16" s="65"/>
      <c r="AA16" s="65"/>
      <c r="AB16" s="126"/>
    </row>
    <row r="17" spans="1:28" ht="12" customHeight="1" x14ac:dyDescent="0.3">
      <c r="B17" s="5"/>
      <c r="C17" s="6"/>
      <c r="D17" s="6"/>
      <c r="E17" s="69" t="s">
        <v>140</v>
      </c>
      <c r="F17" s="70">
        <v>100</v>
      </c>
      <c r="G17" s="70">
        <v>95</v>
      </c>
      <c r="H17" s="70">
        <v>90</v>
      </c>
      <c r="I17" s="70">
        <v>85</v>
      </c>
      <c r="J17" s="70">
        <v>80</v>
      </c>
      <c r="K17" s="70">
        <v>75</v>
      </c>
      <c r="L17" s="70">
        <v>70</v>
      </c>
      <c r="M17" s="70">
        <v>65</v>
      </c>
      <c r="N17" s="70">
        <v>60</v>
      </c>
      <c r="O17" s="70">
        <v>55</v>
      </c>
      <c r="P17" s="70">
        <v>50</v>
      </c>
      <c r="Q17" s="70">
        <v>45</v>
      </c>
      <c r="R17" s="70">
        <v>40</v>
      </c>
      <c r="S17" s="70">
        <v>35</v>
      </c>
      <c r="T17" s="70">
        <v>30</v>
      </c>
      <c r="U17" s="70">
        <v>25</v>
      </c>
      <c r="V17" s="70">
        <v>20</v>
      </c>
      <c r="W17" s="70">
        <v>15</v>
      </c>
      <c r="X17" s="70">
        <v>10</v>
      </c>
      <c r="Y17" s="70">
        <v>5</v>
      </c>
      <c r="Z17" s="70">
        <v>0</v>
      </c>
      <c r="AA17" s="70"/>
      <c r="AB17" s="71" t="e">
        <f>'Zero value Calc'!T20</f>
        <v>#DIV/0!</v>
      </c>
    </row>
    <row r="18" spans="1:28" ht="12" customHeight="1" x14ac:dyDescent="0.3">
      <c r="B18" s="5"/>
      <c r="C18" s="6"/>
      <c r="D18" s="6"/>
      <c r="E18" s="69" t="s">
        <v>141</v>
      </c>
      <c r="F18" s="70">
        <v>0</v>
      </c>
      <c r="G18" s="70">
        <v>0.05</v>
      </c>
      <c r="H18" s="70">
        <v>0.1</v>
      </c>
      <c r="I18" s="70">
        <v>0.15</v>
      </c>
      <c r="J18" s="70">
        <v>0.2</v>
      </c>
      <c r="K18" s="70">
        <v>0.25</v>
      </c>
      <c r="L18" s="70">
        <v>0.3</v>
      </c>
      <c r="M18" s="70">
        <v>0.35</v>
      </c>
      <c r="N18" s="70">
        <v>0.4</v>
      </c>
      <c r="O18" s="70">
        <v>0.45</v>
      </c>
      <c r="P18" s="70">
        <v>0.5</v>
      </c>
      <c r="Q18" s="70">
        <v>0.55000000000000004</v>
      </c>
      <c r="R18" s="70">
        <v>0.6</v>
      </c>
      <c r="S18" s="70">
        <v>0.65</v>
      </c>
      <c r="T18" s="70">
        <v>0.7</v>
      </c>
      <c r="U18" s="70">
        <v>0.75</v>
      </c>
      <c r="V18" s="70">
        <v>0.8</v>
      </c>
      <c r="W18" s="70">
        <v>0.85</v>
      </c>
      <c r="X18" s="70">
        <v>0.9</v>
      </c>
      <c r="Y18" s="70">
        <v>0.95</v>
      </c>
      <c r="Z18" s="70">
        <v>1</v>
      </c>
      <c r="AA18" s="70"/>
      <c r="AB18" s="72" t="e">
        <f>1-AB17/100</f>
        <v>#DIV/0!</v>
      </c>
    </row>
    <row r="19" spans="1:28" ht="12" customHeight="1" x14ac:dyDescent="0.3">
      <c r="B19" s="5"/>
      <c r="C19" s="6"/>
      <c r="D19" s="6"/>
      <c r="E19" s="69" t="s">
        <v>151</v>
      </c>
      <c r="F19" s="73">
        <v>1</v>
      </c>
      <c r="G19" s="73">
        <v>0.95</v>
      </c>
      <c r="H19" s="73">
        <v>0.9</v>
      </c>
      <c r="I19" s="73">
        <v>0.85</v>
      </c>
      <c r="J19" s="73">
        <v>0.8</v>
      </c>
      <c r="K19" s="73">
        <v>0.75</v>
      </c>
      <c r="L19" s="73">
        <v>0.7</v>
      </c>
      <c r="M19" s="73">
        <v>0.65</v>
      </c>
      <c r="N19" s="73">
        <v>0.6</v>
      </c>
      <c r="O19" s="73">
        <v>0.55000000000000004</v>
      </c>
      <c r="P19" s="73">
        <v>0.5</v>
      </c>
      <c r="Q19" s="73">
        <v>0.45</v>
      </c>
      <c r="R19" s="73">
        <v>0.39999999999999902</v>
      </c>
      <c r="S19" s="73">
        <v>0.34999999999999898</v>
      </c>
      <c r="T19" s="73">
        <v>0.29999999999999899</v>
      </c>
      <c r="U19" s="73">
        <v>0.249999999999999</v>
      </c>
      <c r="V19" s="73">
        <v>0.19999999999999901</v>
      </c>
      <c r="W19" s="73">
        <v>0.149999999999999</v>
      </c>
      <c r="X19" s="73">
        <v>9.9999999999999006E-2</v>
      </c>
      <c r="Y19" s="73">
        <v>4.9999999999998997E-2</v>
      </c>
      <c r="Z19" s="73">
        <v>-9.9920072216264108E-16</v>
      </c>
      <c r="AA19" s="70"/>
      <c r="AB19" s="72" t="e">
        <f>AB17/100</f>
        <v>#DIV/0!</v>
      </c>
    </row>
    <row r="20" spans="1:28" ht="12" customHeight="1" x14ac:dyDescent="0.3">
      <c r="B20" s="5"/>
      <c r="C20" s="6"/>
      <c r="D20" s="6"/>
      <c r="E20" s="69" t="s">
        <v>142</v>
      </c>
      <c r="F20" s="73">
        <f>('Stage 3'!$K$38)*'Graph Calculations'!F18</f>
        <v>0</v>
      </c>
      <c r="G20" s="73">
        <f>('Stage 3'!$K$38)*'Graph Calculations'!G18</f>
        <v>0</v>
      </c>
      <c r="H20" s="73">
        <f>('Stage 3'!$K$38)*'Graph Calculations'!H18</f>
        <v>0</v>
      </c>
      <c r="I20" s="73">
        <f>('Stage 3'!$K$38)*'Graph Calculations'!I18</f>
        <v>0</v>
      </c>
      <c r="J20" s="73">
        <f>('Stage 3'!$K$38)*'Graph Calculations'!J18</f>
        <v>0</v>
      </c>
      <c r="K20" s="73">
        <f>('Stage 3'!$K$38)*'Graph Calculations'!K18</f>
        <v>0</v>
      </c>
      <c r="L20" s="73">
        <f>('Stage 3'!$K$38)*'Graph Calculations'!L18</f>
        <v>0</v>
      </c>
      <c r="M20" s="73">
        <f>('Stage 3'!$K$38)*'Graph Calculations'!M18</f>
        <v>0</v>
      </c>
      <c r="N20" s="73">
        <f>('Stage 3'!$K$38)*'Graph Calculations'!N18</f>
        <v>0</v>
      </c>
      <c r="O20" s="73">
        <f>('Stage 3'!$K$38)*'Graph Calculations'!O18</f>
        <v>0</v>
      </c>
      <c r="P20" s="73">
        <f>('Stage 3'!$K$38)*'Graph Calculations'!P18</f>
        <v>0</v>
      </c>
      <c r="Q20" s="73">
        <f>('Stage 3'!$K$38)*'Graph Calculations'!Q18</f>
        <v>0</v>
      </c>
      <c r="R20" s="73">
        <f>('Stage 3'!$K$38)*'Graph Calculations'!R18</f>
        <v>0</v>
      </c>
      <c r="S20" s="73">
        <f>('Stage 3'!$K$38)*'Graph Calculations'!S18</f>
        <v>0</v>
      </c>
      <c r="T20" s="73">
        <f>('Stage 3'!$K$38)*'Graph Calculations'!T18</f>
        <v>0</v>
      </c>
      <c r="U20" s="73">
        <f>('Stage 3'!$K$38)*'Graph Calculations'!U18</f>
        <v>0</v>
      </c>
      <c r="V20" s="73">
        <f>('Stage 3'!$K$38)*'Graph Calculations'!V18</f>
        <v>0</v>
      </c>
      <c r="W20" s="73">
        <f>('Stage 3'!$K$38)*'Graph Calculations'!W18</f>
        <v>0</v>
      </c>
      <c r="X20" s="73">
        <f>('Stage 3'!$K$38)*'Graph Calculations'!X18</f>
        <v>0</v>
      </c>
      <c r="Y20" s="73">
        <f>('Stage 3'!$K$38)*'Graph Calculations'!Y18</f>
        <v>0</v>
      </c>
      <c r="Z20" s="73">
        <f>('Stage 3'!$K$38)*'Graph Calculations'!Z18</f>
        <v>0</v>
      </c>
      <c r="AA20" s="70"/>
      <c r="AB20" s="71" t="e">
        <f>('Stage 3'!$K$38)*'Graph Calculations'!AB18</f>
        <v>#DIV/0!</v>
      </c>
    </row>
    <row r="21" spans="1:28" ht="12" customHeight="1" x14ac:dyDescent="0.3">
      <c r="B21" s="5"/>
      <c r="C21" s="6"/>
      <c r="D21" s="6"/>
      <c r="E21" s="69" t="s">
        <v>152</v>
      </c>
      <c r="F21" s="73">
        <f>('Zero value Calc'!$K$16*'Data Tables'!$P$9)*F19</f>
        <v>0</v>
      </c>
      <c r="G21" s="73">
        <f>('Zero value Calc'!$K$16*'Data Tables'!$P$9)*G19</f>
        <v>0</v>
      </c>
      <c r="H21" s="73">
        <f>('Zero value Calc'!$K$16*'Data Tables'!$P$9)*H19</f>
        <v>0</v>
      </c>
      <c r="I21" s="73">
        <f>('Zero value Calc'!$K$16*'Data Tables'!$P$9)*I19</f>
        <v>0</v>
      </c>
      <c r="J21" s="73">
        <f>('Zero value Calc'!$K$16*'Data Tables'!$P$9)*J19</f>
        <v>0</v>
      </c>
      <c r="K21" s="73">
        <f>('Zero value Calc'!$K$16*'Data Tables'!$P$9)*K19</f>
        <v>0</v>
      </c>
      <c r="L21" s="73">
        <f>('Zero value Calc'!$K$16*'Data Tables'!$P$9)*L19</f>
        <v>0</v>
      </c>
      <c r="M21" s="73">
        <f>('Zero value Calc'!$K$16*'Data Tables'!$P$9)*M19</f>
        <v>0</v>
      </c>
      <c r="N21" s="73">
        <f>('Zero value Calc'!$K$16*'Data Tables'!$P$9)*N19</f>
        <v>0</v>
      </c>
      <c r="O21" s="73">
        <f>('Zero value Calc'!$K$16*'Data Tables'!$P$9)*O19</f>
        <v>0</v>
      </c>
      <c r="P21" s="73">
        <f>('Zero value Calc'!$K$16*'Data Tables'!$P$9)*P19</f>
        <v>0</v>
      </c>
      <c r="Q21" s="73">
        <f>('Zero value Calc'!$K$16*'Data Tables'!$P$9)*Q19</f>
        <v>0</v>
      </c>
      <c r="R21" s="73">
        <f>('Zero value Calc'!$K$16*'Data Tables'!$P$9)*R19</f>
        <v>0</v>
      </c>
      <c r="S21" s="73">
        <f>('Zero value Calc'!$K$16*'Data Tables'!$P$9)*S19</f>
        <v>0</v>
      </c>
      <c r="T21" s="73">
        <f>('Zero value Calc'!$K$16*'Data Tables'!$P$9)*T19</f>
        <v>0</v>
      </c>
      <c r="U21" s="73">
        <f>('Zero value Calc'!$K$16*'Data Tables'!$P$9)*U19</f>
        <v>0</v>
      </c>
      <c r="V21" s="73">
        <f>('Zero value Calc'!$K$16*'Data Tables'!$P$9)*V19</f>
        <v>0</v>
      </c>
      <c r="W21" s="73">
        <f>('Zero value Calc'!$K$16*'Data Tables'!$P$9)*W19</f>
        <v>0</v>
      </c>
      <c r="X21" s="73">
        <f>('Zero value Calc'!$K$16*'Data Tables'!$P$9)*X19</f>
        <v>0</v>
      </c>
      <c r="Y21" s="73">
        <f>('Zero value Calc'!$K$16*'Data Tables'!$P$9)*Y19</f>
        <v>0</v>
      </c>
      <c r="Z21" s="73">
        <f>('Zero value Calc'!$K$16*'Data Tables'!$P$9)*Z19</f>
        <v>0</v>
      </c>
      <c r="AA21" s="73"/>
      <c r="AB21" s="71" t="e">
        <f>('Zero value Calc'!$K$16*'Data Tables'!$O$9)*AB19</f>
        <v>#DIV/0!</v>
      </c>
    </row>
    <row r="22" spans="1:28" ht="12" customHeight="1" x14ac:dyDescent="0.3">
      <c r="B22" s="5"/>
      <c r="C22" s="6"/>
      <c r="D22" s="6"/>
      <c r="E22" s="69" t="s">
        <v>143</v>
      </c>
      <c r="F22" s="73">
        <f>SUM(F20:F21)</f>
        <v>0</v>
      </c>
      <c r="G22" s="73">
        <f t="shared" ref="G22:K22" si="4">SUM(G20:G21)</f>
        <v>0</v>
      </c>
      <c r="H22" s="73">
        <f t="shared" si="4"/>
        <v>0</v>
      </c>
      <c r="I22" s="73">
        <f t="shared" si="4"/>
        <v>0</v>
      </c>
      <c r="J22" s="73">
        <f t="shared" si="4"/>
        <v>0</v>
      </c>
      <c r="K22" s="73">
        <f t="shared" si="4"/>
        <v>0</v>
      </c>
      <c r="L22" s="73">
        <f>SUM(L20:L21)</f>
        <v>0</v>
      </c>
      <c r="M22" s="73">
        <f t="shared" ref="M22:Z22" si="5">SUM(M20:M21)</f>
        <v>0</v>
      </c>
      <c r="N22" s="73">
        <f t="shared" si="5"/>
        <v>0</v>
      </c>
      <c r="O22" s="73">
        <f t="shared" si="5"/>
        <v>0</v>
      </c>
      <c r="P22" s="73">
        <f t="shared" si="5"/>
        <v>0</v>
      </c>
      <c r="Q22" s="73">
        <f t="shared" si="5"/>
        <v>0</v>
      </c>
      <c r="R22" s="73">
        <f t="shared" si="5"/>
        <v>0</v>
      </c>
      <c r="S22" s="73">
        <f t="shared" si="5"/>
        <v>0</v>
      </c>
      <c r="T22" s="73">
        <f t="shared" si="5"/>
        <v>0</v>
      </c>
      <c r="U22" s="73">
        <f t="shared" si="5"/>
        <v>0</v>
      </c>
      <c r="V22" s="73">
        <f t="shared" si="5"/>
        <v>0</v>
      </c>
      <c r="W22" s="73">
        <f t="shared" si="5"/>
        <v>0</v>
      </c>
      <c r="X22" s="73">
        <f t="shared" si="5"/>
        <v>0</v>
      </c>
      <c r="Y22" s="73">
        <f t="shared" si="5"/>
        <v>0</v>
      </c>
      <c r="Z22" s="73">
        <f t="shared" si="5"/>
        <v>0</v>
      </c>
      <c r="AA22" s="73"/>
      <c r="AB22" s="71" t="e">
        <f>SUM(AB20:AB21)</f>
        <v>#DIV/0!</v>
      </c>
    </row>
    <row r="23" spans="1:28" ht="12" customHeight="1" x14ac:dyDescent="0.3">
      <c r="B23" s="5"/>
      <c r="C23" s="6"/>
      <c r="D23" s="6"/>
      <c r="E23" s="69" t="s">
        <v>144</v>
      </c>
      <c r="F23" s="73">
        <f>F22-'Zero value Calc'!$K$20</f>
        <v>0</v>
      </c>
      <c r="G23" s="73">
        <f>G22-'Zero value Calc'!$K$20</f>
        <v>0</v>
      </c>
      <c r="H23" s="73">
        <f>H22-'Zero value Calc'!$K$20</f>
        <v>0</v>
      </c>
      <c r="I23" s="73">
        <f>I22-'Zero value Calc'!$K$20</f>
        <v>0</v>
      </c>
      <c r="J23" s="73">
        <f>J22-'Zero value Calc'!$K$20</f>
        <v>0</v>
      </c>
      <c r="K23" s="73">
        <f>K22-'Zero value Calc'!$K$20</f>
        <v>0</v>
      </c>
      <c r="L23" s="73">
        <f>L22-'Zero value Calc'!$K$20</f>
        <v>0</v>
      </c>
      <c r="M23" s="73">
        <f>M22-'Zero value Calc'!$K$20</f>
        <v>0</v>
      </c>
      <c r="N23" s="73">
        <f>N22-'Zero value Calc'!$K$20</f>
        <v>0</v>
      </c>
      <c r="O23" s="73">
        <f>O22-'Zero value Calc'!$K$20</f>
        <v>0</v>
      </c>
      <c r="P23" s="73">
        <f>P22-'Zero value Calc'!$K$20</f>
        <v>0</v>
      </c>
      <c r="Q23" s="73">
        <f>Q22-'Zero value Calc'!$K$20</f>
        <v>0</v>
      </c>
      <c r="R23" s="73">
        <f>R22-'Zero value Calc'!$K$20</f>
        <v>0</v>
      </c>
      <c r="S23" s="73">
        <f>S22-'Zero value Calc'!$K$20</f>
        <v>0</v>
      </c>
      <c r="T23" s="73">
        <f>T22-'Zero value Calc'!$K$20</f>
        <v>0</v>
      </c>
      <c r="U23" s="73">
        <f>U22-'Zero value Calc'!$K$20</f>
        <v>0</v>
      </c>
      <c r="V23" s="73">
        <f>V22-'Zero value Calc'!$K$20</f>
        <v>0</v>
      </c>
      <c r="W23" s="73">
        <f>W22-'Zero value Calc'!$K$20</f>
        <v>0</v>
      </c>
      <c r="X23" s="73">
        <f>X22-'Zero value Calc'!$K$20</f>
        <v>0</v>
      </c>
      <c r="Y23" s="73">
        <f>Y22-'Zero value Calc'!$K$20</f>
        <v>0</v>
      </c>
      <c r="Z23" s="73">
        <f>Z22-'Zero value Calc'!$K$20</f>
        <v>0</v>
      </c>
      <c r="AA23" s="73"/>
      <c r="AB23" s="71" t="e">
        <f>AB22-'Zero value Calc'!$K$20</f>
        <v>#DIV/0!</v>
      </c>
    </row>
    <row r="24" spans="1:28" ht="12" customHeight="1" x14ac:dyDescent="0.3">
      <c r="B24" s="5"/>
      <c r="C24" s="6"/>
      <c r="D24" s="6"/>
      <c r="E24" s="69" t="s">
        <v>145</v>
      </c>
      <c r="F24" s="73" t="e">
        <f>('Zero value Calc'!$K$15/'Zero value Calc'!$K$16)*(F18*'Zero value Calc'!$K$16)</f>
        <v>#DIV/0!</v>
      </c>
      <c r="G24" s="73" t="e">
        <f>('Zero value Calc'!$K$15/'Zero value Calc'!$K$16)*(G18*'Zero value Calc'!$K$16)</f>
        <v>#DIV/0!</v>
      </c>
      <c r="H24" s="73" t="e">
        <f>('Zero value Calc'!$K$15/'Zero value Calc'!$K$16)*(H18*'Zero value Calc'!$K$16)</f>
        <v>#DIV/0!</v>
      </c>
      <c r="I24" s="73" t="e">
        <f>('Zero value Calc'!$K$15/'Zero value Calc'!$K$16)*(I18*'Zero value Calc'!$K$16)</f>
        <v>#DIV/0!</v>
      </c>
      <c r="J24" s="73" t="e">
        <f>('Zero value Calc'!$K$15/'Zero value Calc'!$K$16)*(J18*'Zero value Calc'!$K$16)</f>
        <v>#DIV/0!</v>
      </c>
      <c r="K24" s="73" t="e">
        <f>('Zero value Calc'!$K$15/'Zero value Calc'!$K$16)*(K18*'Zero value Calc'!$K$16)</f>
        <v>#DIV/0!</v>
      </c>
      <c r="L24" s="73" t="e">
        <f>('Zero value Calc'!$K$15/'Zero value Calc'!$K$16)*(L18*'Zero value Calc'!$K$16)</f>
        <v>#DIV/0!</v>
      </c>
      <c r="M24" s="73" t="e">
        <f>('Zero value Calc'!$K$15/'Zero value Calc'!$K$16)*(M18*'Zero value Calc'!$K$16)</f>
        <v>#DIV/0!</v>
      </c>
      <c r="N24" s="73" t="e">
        <f>('Zero value Calc'!$K$15/'Zero value Calc'!$K$16)*(N18*'Zero value Calc'!$K$16)</f>
        <v>#DIV/0!</v>
      </c>
      <c r="O24" s="73" t="e">
        <f>('Zero value Calc'!$K$15/'Zero value Calc'!$K$16)*(O18*'Zero value Calc'!$K$16)</f>
        <v>#DIV/0!</v>
      </c>
      <c r="P24" s="73" t="e">
        <f>('Zero value Calc'!$K$15/'Zero value Calc'!$K$16)*(P18*'Zero value Calc'!$K$16)</f>
        <v>#DIV/0!</v>
      </c>
      <c r="Q24" s="73" t="e">
        <f>('Zero value Calc'!$K$15/'Zero value Calc'!$K$16)*(Q18*'Zero value Calc'!$K$16)</f>
        <v>#DIV/0!</v>
      </c>
      <c r="R24" s="73" t="e">
        <f>('Zero value Calc'!$K$15/'Zero value Calc'!$K$16)*(R18*'Zero value Calc'!$K$16)</f>
        <v>#DIV/0!</v>
      </c>
      <c r="S24" s="73" t="e">
        <f>('Zero value Calc'!$K$15/'Zero value Calc'!$K$16)*(S18*'Zero value Calc'!$K$16)</f>
        <v>#DIV/0!</v>
      </c>
      <c r="T24" s="73" t="e">
        <f>('Zero value Calc'!$K$15/'Zero value Calc'!$K$16)*(T18*'Zero value Calc'!$K$16)</f>
        <v>#DIV/0!</v>
      </c>
      <c r="U24" s="73" t="e">
        <f>('Zero value Calc'!$K$15/'Zero value Calc'!$K$16)*(U18*'Zero value Calc'!$K$16)</f>
        <v>#DIV/0!</v>
      </c>
      <c r="V24" s="73" t="e">
        <f>('Zero value Calc'!$K$15/'Zero value Calc'!$K$16)*(V18*'Zero value Calc'!$K$16)</f>
        <v>#DIV/0!</v>
      </c>
      <c r="W24" s="73" t="e">
        <f>('Zero value Calc'!$K$15/'Zero value Calc'!$K$16)*(W18*'Zero value Calc'!$K$16)</f>
        <v>#DIV/0!</v>
      </c>
      <c r="X24" s="73" t="e">
        <f>('Zero value Calc'!$K$15/'Zero value Calc'!$K$16)*(X18*'Zero value Calc'!$K$16)</f>
        <v>#DIV/0!</v>
      </c>
      <c r="Y24" s="73" t="e">
        <f>('Zero value Calc'!$K$15/'Zero value Calc'!$K$16)*(Y18*'Zero value Calc'!$K$16)</f>
        <v>#DIV/0!</v>
      </c>
      <c r="Z24" s="73" t="e">
        <f>('Zero value Calc'!$K$15/'Zero value Calc'!$K$16)*(Z18*'Zero value Calc'!$K$16)</f>
        <v>#DIV/0!</v>
      </c>
      <c r="AA24" s="73"/>
      <c r="AB24" s="71" t="e">
        <f>('Zero value Calc'!$K$15/'Zero value Calc'!$K$16)*(AB18*'Zero value Calc'!$K$16)</f>
        <v>#DIV/0!</v>
      </c>
    </row>
    <row r="25" spans="1:28" ht="12" customHeight="1" x14ac:dyDescent="0.3">
      <c r="B25" s="5"/>
      <c r="C25" s="6"/>
      <c r="D25" s="6"/>
      <c r="E25" s="69" t="s">
        <v>50</v>
      </c>
      <c r="F25" s="73" t="e">
        <f>((((F24*(IF('Zero value Calc'!$G$11="House",'Stage 1'!$V$12,0)+IF('Zero value Calc'!$G$11="Hotel / quest house",'Stage 1'!$V$18,0))*'Stage 1'!$V$27)*'Stage 1'!$K$47)/1000000)*365.25)</f>
        <v>#DIV/0!</v>
      </c>
      <c r="G25" s="73" t="e">
        <f>((((G24*(IF('Zero value Calc'!$G$11="House",'Stage 1'!$V$12,0)+IF('Zero value Calc'!$G$11="Hotel / quest house",'Stage 1'!$V$18,0))*'Stage 1'!$V$27)*'Stage 1'!$K$47)/1000000)*365.25)</f>
        <v>#DIV/0!</v>
      </c>
      <c r="H25" s="73" t="e">
        <f>((((H24*(IF('Zero value Calc'!$G$11="House",'Stage 1'!$V$12,0)+IF('Zero value Calc'!$G$11="Hotel / quest house",'Stage 1'!$V$18,0))*'Stage 1'!$V$27)*'Stage 1'!$K$47)/1000000)*365.25)</f>
        <v>#DIV/0!</v>
      </c>
      <c r="I25" s="73" t="e">
        <f>((((I24*(IF('Zero value Calc'!$G$11="House",'Stage 1'!$V$12,0)+IF('Zero value Calc'!$G$11="Hotel / quest house",'Stage 1'!$V$18,0))*'Stage 1'!$V$27)*'Stage 1'!$K$47)/1000000)*365.25)</f>
        <v>#DIV/0!</v>
      </c>
      <c r="J25" s="73" t="e">
        <f>((((J24*(IF('Zero value Calc'!$G$11="House",'Stage 1'!$V$12,0)+IF('Zero value Calc'!$G$11="Hotel / quest house",'Stage 1'!$V$18,0))*'Stage 1'!$V$27)*'Stage 1'!$K$47)/1000000)*365.25)</f>
        <v>#DIV/0!</v>
      </c>
      <c r="K25" s="73" t="e">
        <f>((((K24*(IF('Zero value Calc'!$G$11="House",'Stage 1'!$V$12,0)+IF('Zero value Calc'!$G$11="Hotel / quest house",'Stage 1'!$V$18,0))*'Stage 1'!$V$27)*'Stage 1'!$K$47)/1000000)*365.25)</f>
        <v>#DIV/0!</v>
      </c>
      <c r="L25" s="73" t="e">
        <f>((((L24*(IF('Zero value Calc'!$G$11="House",'Stage 1'!$V$12,0)+IF('Zero value Calc'!$G$11="Hotel / quest house",'Stage 1'!$V$18,0))*'Stage 1'!$V$27)*'Stage 1'!$K$47)/1000000)*365.25)</f>
        <v>#DIV/0!</v>
      </c>
      <c r="M25" s="73" t="e">
        <f>((((M24*(IF('Zero value Calc'!$G$11="House",'Stage 1'!$V$12,0)+IF('Zero value Calc'!$G$11="Hotel / quest house",'Stage 1'!$V$18,0))*'Stage 1'!$V$27)*'Stage 1'!$K$47)/1000000)*365.25)</f>
        <v>#DIV/0!</v>
      </c>
      <c r="N25" s="73" t="e">
        <f>((((N24*(IF('Zero value Calc'!$G$11="House",'Stage 1'!$V$12,0)+IF('Zero value Calc'!$G$11="Hotel / quest house",'Stage 1'!$V$18,0))*'Stage 1'!$V$27)*'Stage 1'!$K$47)/1000000)*365.25)</f>
        <v>#DIV/0!</v>
      </c>
      <c r="O25" s="73" t="e">
        <f>((((O24*(IF('Zero value Calc'!$G$11="House",'Stage 1'!$V$12,0)+IF('Zero value Calc'!$G$11="Hotel / quest house",'Stage 1'!$V$18,0))*'Stage 1'!$V$27)*'Stage 1'!$K$47)/1000000)*365.25)</f>
        <v>#DIV/0!</v>
      </c>
      <c r="P25" s="73" t="e">
        <f>((((P24*(IF('Zero value Calc'!$G$11="House",'Stage 1'!$V$12,0)+IF('Zero value Calc'!$G$11="Hotel / quest house",'Stage 1'!$V$18,0))*'Stage 1'!$V$27)*'Stage 1'!$K$47)/1000000)*365.25)</f>
        <v>#DIV/0!</v>
      </c>
      <c r="Q25" s="73" t="e">
        <f>((((Q24*(IF('Zero value Calc'!$G$11="House",'Stage 1'!$V$12,0)+IF('Zero value Calc'!$G$11="Hotel / quest house",'Stage 1'!$V$18,0))*'Stage 1'!$V$27)*'Stage 1'!$K$47)/1000000)*365.25)</f>
        <v>#DIV/0!</v>
      </c>
      <c r="R25" s="73" t="e">
        <f>((((R24*(IF('Zero value Calc'!$G$11="House",'Stage 1'!$V$12,0)+IF('Zero value Calc'!$G$11="Hotel / quest house",'Stage 1'!$V$18,0))*'Stage 1'!$V$27)*'Stage 1'!$K$47)/1000000)*365.25)</f>
        <v>#DIV/0!</v>
      </c>
      <c r="S25" s="73" t="e">
        <f>((((S24*(IF('Zero value Calc'!$G$11="House",'Stage 1'!$V$12,0)+IF('Zero value Calc'!$G$11="Hotel / quest house",'Stage 1'!$V$18,0))*'Stage 1'!$V$27)*'Stage 1'!$K$47)/1000000)*365.25)</f>
        <v>#DIV/0!</v>
      </c>
      <c r="T25" s="73" t="e">
        <f>((((T24*(IF('Zero value Calc'!$G$11="House",'Stage 1'!$V$12,0)+IF('Zero value Calc'!$G$11="Hotel / quest house",'Stage 1'!$V$18,0))*'Stage 1'!$V$27)*'Stage 1'!$K$47)/1000000)*365.25)</f>
        <v>#DIV/0!</v>
      </c>
      <c r="U25" s="73" t="e">
        <f>((((U24*(IF('Zero value Calc'!$G$11="House",'Stage 1'!$V$12,0)+IF('Zero value Calc'!$G$11="Hotel / quest house",'Stage 1'!$V$18,0))*'Stage 1'!$V$27)*'Stage 1'!$K$47)/1000000)*365.25)</f>
        <v>#DIV/0!</v>
      </c>
      <c r="V25" s="73" t="e">
        <f>((((V24*(IF('Zero value Calc'!$G$11="House",'Stage 1'!$V$12,0)+IF('Zero value Calc'!$G$11="Hotel / quest house",'Stage 1'!$V$18,0))*'Stage 1'!$V$27)*'Stage 1'!$K$47)/1000000)*365.25)</f>
        <v>#DIV/0!</v>
      </c>
      <c r="W25" s="73" t="e">
        <f>((((W24*(IF('Zero value Calc'!$G$11="House",'Stage 1'!$V$12,0)+IF('Zero value Calc'!$G$11="Hotel / quest house",'Stage 1'!$V$18,0))*'Stage 1'!$V$27)*'Stage 1'!$K$47)/1000000)*365.25)</f>
        <v>#DIV/0!</v>
      </c>
      <c r="X25" s="73" t="e">
        <f>((((X24*(IF('Zero value Calc'!$G$11="House",'Stage 1'!$V$12,0)+IF('Zero value Calc'!$G$11="Hotel / quest house",'Stage 1'!$V$18,0))*'Stage 1'!$V$27)*'Stage 1'!$K$47)/1000000)*365.25)</f>
        <v>#DIV/0!</v>
      </c>
      <c r="Y25" s="73" t="e">
        <f>((((Y24*(IF('Zero value Calc'!$G$11="House",'Stage 1'!$V$12,0)+IF('Zero value Calc'!$G$11="Hotel / quest house",'Stage 1'!$V$18,0))*'Stage 1'!$V$27)*'Stage 1'!$K$47)/1000000)*365.25)</f>
        <v>#DIV/0!</v>
      </c>
      <c r="Z25" s="73" t="e">
        <f>((((Z24*(IF('Zero value Calc'!$G$11="House",'Stage 1'!$V$12,0)+IF('Zero value Calc'!$G$11="Hotel / quest house",'Stage 1'!$V$18,0))*'Stage 1'!$V$27)*'Stage 1'!$K$47)/1000000)*365.25)</f>
        <v>#DIV/0!</v>
      </c>
      <c r="AA25" s="73"/>
      <c r="AB25" s="74" t="e">
        <f>((((AB24*(IF('Zero value Calc'!$G$11="House",'Stage 1'!$V$12,0)+IF('Zero value Calc'!$G$11="Hotel / quest house",'Stage 1'!$V$18,0)))*'Stage 1'!$V$27)*'Stage 1'!$K$47)/1000000)*365.25</f>
        <v>#DIV/0!</v>
      </c>
    </row>
    <row r="26" spans="1:28" ht="12" customHeight="1" x14ac:dyDescent="0.3">
      <c r="B26" s="5"/>
      <c r="C26" s="6"/>
      <c r="D26" s="6"/>
      <c r="E26" s="69" t="s">
        <v>51</v>
      </c>
      <c r="F26" s="73" t="e">
        <f>F23+F25</f>
        <v>#DIV/0!</v>
      </c>
      <c r="G26" s="73" t="e">
        <f t="shared" ref="G26:Z26" si="6">G23+G25</f>
        <v>#DIV/0!</v>
      </c>
      <c r="H26" s="73" t="e">
        <f t="shared" si="6"/>
        <v>#DIV/0!</v>
      </c>
      <c r="I26" s="73" t="e">
        <f t="shared" si="6"/>
        <v>#DIV/0!</v>
      </c>
      <c r="J26" s="73" t="e">
        <f t="shared" si="6"/>
        <v>#DIV/0!</v>
      </c>
      <c r="K26" s="73" t="e">
        <f t="shared" si="6"/>
        <v>#DIV/0!</v>
      </c>
      <c r="L26" s="73" t="e">
        <f t="shared" si="6"/>
        <v>#DIV/0!</v>
      </c>
      <c r="M26" s="73" t="e">
        <f t="shared" si="6"/>
        <v>#DIV/0!</v>
      </c>
      <c r="N26" s="73" t="e">
        <f t="shared" si="6"/>
        <v>#DIV/0!</v>
      </c>
      <c r="O26" s="73" t="e">
        <f t="shared" si="6"/>
        <v>#DIV/0!</v>
      </c>
      <c r="P26" s="73" t="e">
        <f t="shared" si="6"/>
        <v>#DIV/0!</v>
      </c>
      <c r="Q26" s="73" t="e">
        <f t="shared" si="6"/>
        <v>#DIV/0!</v>
      </c>
      <c r="R26" s="73" t="e">
        <f t="shared" si="6"/>
        <v>#DIV/0!</v>
      </c>
      <c r="S26" s="73" t="e">
        <f t="shared" si="6"/>
        <v>#DIV/0!</v>
      </c>
      <c r="T26" s="73" t="e">
        <f t="shared" si="6"/>
        <v>#DIV/0!</v>
      </c>
      <c r="U26" s="73" t="e">
        <f t="shared" si="6"/>
        <v>#DIV/0!</v>
      </c>
      <c r="V26" s="73" t="e">
        <f t="shared" si="6"/>
        <v>#DIV/0!</v>
      </c>
      <c r="W26" s="73" t="e">
        <f t="shared" si="6"/>
        <v>#DIV/0!</v>
      </c>
      <c r="X26" s="73" t="e">
        <f t="shared" si="6"/>
        <v>#DIV/0!</v>
      </c>
      <c r="Y26" s="73" t="e">
        <f t="shared" si="6"/>
        <v>#DIV/0!</v>
      </c>
      <c r="Z26" s="73" t="e">
        <f t="shared" si="6"/>
        <v>#DIV/0!</v>
      </c>
      <c r="AA26" s="73"/>
      <c r="AB26" s="71" t="e">
        <f t="shared" ref="AB26" si="7">AB23+AB25</f>
        <v>#DIV/0!</v>
      </c>
    </row>
    <row r="27" spans="1:28" ht="11.5" customHeight="1" thickBo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10"/>
    </row>
    <row r="28" spans="1:28" x14ac:dyDescent="0.25">
      <c r="A28" s="14"/>
      <c r="B28" s="14"/>
      <c r="C28" s="14"/>
      <c r="D28" s="1"/>
    </row>
    <row r="29" spans="1:28" ht="6.65" customHeight="1" x14ac:dyDescent="0.25">
      <c r="A29" s="14"/>
      <c r="B29" s="14"/>
      <c r="C29" s="14"/>
      <c r="D29" s="1"/>
    </row>
    <row r="30" spans="1:28" x14ac:dyDescent="0.25">
      <c r="A30" s="14"/>
      <c r="B30" s="14"/>
      <c r="C30" s="14"/>
      <c r="D30" s="1"/>
    </row>
    <row r="31" spans="1:28" x14ac:dyDescent="0.25">
      <c r="A31" s="14"/>
      <c r="B31" s="14"/>
      <c r="C31" s="14"/>
      <c r="D31" s="1"/>
    </row>
    <row r="32" spans="1:28" x14ac:dyDescent="0.25">
      <c r="A32" s="14"/>
      <c r="B32" s="14"/>
      <c r="C32" s="14"/>
      <c r="D32" s="1"/>
    </row>
    <row r="33" spans="1:4" x14ac:dyDescent="0.25">
      <c r="A33" s="14"/>
      <c r="B33" s="14"/>
      <c r="C33" s="14"/>
      <c r="D33" s="1"/>
    </row>
    <row r="34" spans="1:4" ht="6" customHeight="1" x14ac:dyDescent="0.25">
      <c r="A34" s="14"/>
      <c r="B34" s="14"/>
      <c r="C34" s="14"/>
      <c r="D34" s="1"/>
    </row>
    <row r="35" spans="1:4" ht="16" customHeight="1" x14ac:dyDescent="0.25">
      <c r="A35" s="14"/>
      <c r="B35" s="14"/>
      <c r="C35" s="14"/>
      <c r="D35" s="1"/>
    </row>
    <row r="36" spans="1:4" ht="15" customHeight="1" x14ac:dyDescent="0.25">
      <c r="A36" s="14"/>
      <c r="B36" s="14"/>
      <c r="C36" s="14"/>
      <c r="D36" s="1"/>
    </row>
    <row r="37" spans="1:4" x14ac:dyDescent="0.25">
      <c r="A37" s="14"/>
      <c r="B37" s="14"/>
      <c r="C37" s="14"/>
      <c r="D37" s="1" t="s">
        <v>28</v>
      </c>
    </row>
    <row r="38" spans="1:4" ht="12.65" customHeight="1" x14ac:dyDescent="0.25">
      <c r="A38" s="14"/>
      <c r="B38" s="14"/>
      <c r="C38" s="14"/>
      <c r="D38" s="1"/>
    </row>
    <row r="39" spans="1:4" ht="23.5" customHeight="1" x14ac:dyDescent="0.25">
      <c r="A39" s="14"/>
      <c r="B39" s="14"/>
      <c r="C39" s="14"/>
      <c r="D39" s="42" t="s">
        <v>70</v>
      </c>
    </row>
    <row r="40" spans="1:4" ht="1.5" customHeight="1" x14ac:dyDescent="0.25">
      <c r="A40" s="14"/>
      <c r="B40" s="14"/>
      <c r="C40" s="14"/>
      <c r="D40" s="1"/>
    </row>
    <row r="41" spans="1:4" x14ac:dyDescent="0.25">
      <c r="A41" s="14"/>
      <c r="B41" s="14"/>
      <c r="C41" s="14"/>
      <c r="D41" s="42" t="s">
        <v>71</v>
      </c>
    </row>
    <row r="42" spans="1:4" x14ac:dyDescent="0.25">
      <c r="A42" s="14"/>
      <c r="B42" s="14"/>
      <c r="C42" s="14"/>
      <c r="D42" s="1"/>
    </row>
    <row r="43" spans="1:4" ht="6.65" customHeight="1" x14ac:dyDescent="0.25">
      <c r="A43" s="14"/>
      <c r="B43" s="14"/>
      <c r="C43" s="14"/>
      <c r="D43" s="1"/>
    </row>
    <row r="44" spans="1:4" x14ac:dyDescent="0.25">
      <c r="A44" s="14"/>
      <c r="B44" s="14"/>
      <c r="C44" s="14"/>
      <c r="D44" s="1"/>
    </row>
    <row r="45" spans="1:4" x14ac:dyDescent="0.25">
      <c r="A45" s="14"/>
      <c r="B45" s="14"/>
      <c r="C45" s="14"/>
      <c r="D45" s="1"/>
    </row>
    <row r="46" spans="1:4" x14ac:dyDescent="0.25">
      <c r="A46" s="14"/>
      <c r="B46" s="14"/>
      <c r="C46" s="14"/>
      <c r="D46" s="1"/>
    </row>
    <row r="47" spans="1:4" ht="12.65" customHeight="1" x14ac:dyDescent="0.25">
      <c r="A47" s="14"/>
      <c r="B47" s="14"/>
      <c r="C47" s="14"/>
      <c r="D47" s="1"/>
    </row>
    <row r="48" spans="1:4" ht="35.5" customHeight="1" x14ac:dyDescent="0.25">
      <c r="A48" s="14"/>
      <c r="B48" s="14"/>
      <c r="C48" s="14"/>
      <c r="D48" s="1"/>
    </row>
    <row r="49" spans="1:12" ht="13" customHeight="1" x14ac:dyDescent="0.25">
      <c r="A49" s="14"/>
      <c r="B49" s="14"/>
      <c r="C49" s="14"/>
      <c r="D49" s="1"/>
    </row>
    <row r="50" spans="1:12" ht="13" customHeight="1" x14ac:dyDescent="0.25">
      <c r="A50" s="14"/>
      <c r="B50" s="14"/>
      <c r="C50" s="14"/>
      <c r="D50" s="1"/>
    </row>
    <row r="51" spans="1:12" ht="35.5" customHeight="1" x14ac:dyDescent="0.25">
      <c r="A51" s="14"/>
      <c r="B51" s="14"/>
      <c r="C51" s="14"/>
      <c r="D51" s="1"/>
    </row>
    <row r="52" spans="1:12" ht="6" customHeight="1" thickBot="1" x14ac:dyDescent="0.3">
      <c r="A52" s="14"/>
      <c r="B52" s="14"/>
      <c r="C52" s="14"/>
      <c r="D52" s="41"/>
    </row>
    <row r="53" spans="1:12" x14ac:dyDescent="0.25">
      <c r="A53" s="14"/>
      <c r="B53" s="14"/>
      <c r="C53" s="14"/>
    </row>
    <row r="54" spans="1:12" x14ac:dyDescent="0.25">
      <c r="A54" s="1"/>
      <c r="B54" s="1"/>
      <c r="C54" s="1"/>
      <c r="L54" s="15"/>
    </row>
    <row r="55" spans="1:12" ht="13" x14ac:dyDescent="0.3">
      <c r="E55" s="19"/>
      <c r="F55" s="19"/>
      <c r="I55" s="19"/>
    </row>
    <row r="58" spans="1:12" x14ac:dyDescent="0.25">
      <c r="I58" s="15"/>
    </row>
    <row r="59" spans="1:12" x14ac:dyDescent="0.25">
      <c r="I59" s="15"/>
    </row>
    <row r="60" spans="1:12" x14ac:dyDescent="0.25">
      <c r="I60" s="15"/>
    </row>
    <row r="61" spans="1:12" x14ac:dyDescent="0.25">
      <c r="E61" s="17"/>
      <c r="I61" s="15"/>
    </row>
    <row r="62" spans="1:12" x14ac:dyDescent="0.25">
      <c r="I62" s="15"/>
    </row>
    <row r="67" spans="10:11" ht="13" x14ac:dyDescent="0.3">
      <c r="J67" s="19"/>
      <c r="K67" s="19"/>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76" orientation="landscape" horizontalDpi="360" verticalDpi="360" r:id="rId1"/>
  <headerFooter>
    <oddHeader>&amp;LPhosphate Budget Calculator&amp;CStage 4</oddHeader>
    <oddFooter>&amp;LVersion 2.2&amp;R&amp;D</oddFooter>
  </headerFooter>
  <customProperties>
    <customPr name="SSC_SHEET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8EAF-343D-4DA7-8687-7144E17E3D7D}">
  <sheetPr>
    <tabColor theme="9" tint="0.79998168889431442"/>
  </sheetPr>
  <dimension ref="A1:R3"/>
  <sheetViews>
    <sheetView zoomScaleNormal="100" workbookViewId="0">
      <selection activeCell="A2" sqref="A2:R3"/>
    </sheetView>
  </sheetViews>
  <sheetFormatPr defaultRowHeight="12.5" x14ac:dyDescent="0.25"/>
  <sheetData>
    <row r="1" spans="1:18" ht="13" x14ac:dyDescent="0.3">
      <c r="A1" s="46" t="s">
        <v>602</v>
      </c>
    </row>
    <row r="2" spans="1:18" x14ac:dyDescent="0.25">
      <c r="A2" s="528" t="s">
        <v>606</v>
      </c>
      <c r="B2" s="528"/>
      <c r="C2" s="528"/>
      <c r="D2" s="528"/>
      <c r="E2" s="528"/>
      <c r="F2" s="528"/>
      <c r="G2" s="528"/>
      <c r="H2" s="528"/>
      <c r="I2" s="528"/>
      <c r="J2" s="528"/>
      <c r="K2" s="528"/>
      <c r="L2" s="528"/>
      <c r="M2" s="528"/>
      <c r="N2" s="528"/>
      <c r="O2" s="528"/>
      <c r="P2" s="528"/>
      <c r="Q2" s="528"/>
      <c r="R2" s="528"/>
    </row>
    <row r="3" spans="1:18" ht="37.5" customHeight="1" x14ac:dyDescent="0.25">
      <c r="A3" s="528"/>
      <c r="B3" s="528"/>
      <c r="C3" s="528"/>
      <c r="D3" s="528"/>
      <c r="E3" s="528"/>
      <c r="F3" s="528"/>
      <c r="G3" s="528"/>
      <c r="H3" s="528"/>
      <c r="I3" s="528"/>
      <c r="J3" s="528"/>
      <c r="K3" s="528"/>
      <c r="L3" s="528"/>
      <c r="M3" s="528"/>
      <c r="N3" s="528"/>
      <c r="O3" s="528"/>
      <c r="P3" s="528"/>
      <c r="Q3" s="528"/>
      <c r="R3" s="528"/>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customProperties>
    <customPr name="SSC_SHEET_GUID"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A2:BH924"/>
  <sheetViews>
    <sheetView zoomScaleNormal="100" workbookViewId="0">
      <selection activeCell="F89" sqref="F89"/>
    </sheetView>
  </sheetViews>
  <sheetFormatPr defaultRowHeight="12.5" x14ac:dyDescent="0.25"/>
  <cols>
    <col min="2" max="2" width="35.54296875" customWidth="1"/>
    <col min="3" max="3" width="10.81640625" customWidth="1"/>
    <col min="4" max="5" width="14" customWidth="1"/>
    <col min="6" max="8" width="12.453125" customWidth="1"/>
    <col min="9" max="9" width="14" customWidth="1"/>
    <col min="10" max="11" width="12.6328125" customWidth="1"/>
    <col min="12" max="12" width="6.90625" customWidth="1"/>
    <col min="13" max="13" width="5.54296875" customWidth="1"/>
    <col min="14" max="14" width="11.7265625" customWidth="1"/>
    <col min="15" max="15" width="12.36328125" customWidth="1"/>
    <col min="16" max="16" width="15.6328125" customWidth="1"/>
    <col min="17" max="17" width="5.54296875" customWidth="1"/>
    <col min="18" max="18" width="16.1796875" customWidth="1"/>
    <col min="19" max="19" width="6.90625" customWidth="1"/>
    <col min="20" max="20" width="7.08984375" customWidth="1"/>
    <col min="21" max="21" width="9.7265625" customWidth="1"/>
    <col min="22" max="22" width="8.90625" customWidth="1"/>
    <col min="23" max="24" width="7.81640625" customWidth="1"/>
    <col min="25" max="25" width="8" customWidth="1"/>
    <col min="26" max="26" width="9.36328125" customWidth="1"/>
    <col min="27" max="27" width="7.90625" customWidth="1"/>
    <col min="28" max="28" width="9.6328125" customWidth="1"/>
    <col min="29" max="29" width="7.6328125" customWidth="1"/>
    <col min="30" max="30" width="7.36328125" customWidth="1"/>
    <col min="31" max="31" width="6.26953125" customWidth="1"/>
    <col min="32" max="32" width="6.81640625" customWidth="1"/>
    <col min="33" max="33" width="7.6328125" customWidth="1"/>
    <col min="34" max="34" width="6.54296875" customWidth="1"/>
    <col min="35" max="35" width="7.6328125" customWidth="1"/>
    <col min="36" max="36" width="8.26953125" customWidth="1"/>
    <col min="42" max="42" width="7.6328125" customWidth="1"/>
  </cols>
  <sheetData>
    <row r="2" spans="1:60" ht="55" customHeight="1" thickBot="1" x14ac:dyDescent="0.35">
      <c r="B2" s="88" t="s">
        <v>540</v>
      </c>
      <c r="C2" s="89" t="s">
        <v>575</v>
      </c>
      <c r="D2" s="90" t="s">
        <v>574</v>
      </c>
      <c r="E2" s="90" t="s">
        <v>573</v>
      </c>
      <c r="F2" s="90" t="s">
        <v>63</v>
      </c>
      <c r="G2" s="90" t="s">
        <v>571</v>
      </c>
      <c r="H2" s="90" t="s">
        <v>570</v>
      </c>
      <c r="I2" s="90" t="s">
        <v>568</v>
      </c>
      <c r="J2" s="150" t="s">
        <v>569</v>
      </c>
      <c r="K2" s="150" t="s">
        <v>572</v>
      </c>
      <c r="L2" s="75"/>
      <c r="M2" s="75"/>
      <c r="N2" s="86" t="s">
        <v>47</v>
      </c>
      <c r="O2" s="91" t="s">
        <v>46</v>
      </c>
      <c r="P2" s="91" t="s">
        <v>394</v>
      </c>
      <c r="Q2" s="87"/>
      <c r="R2" s="46"/>
      <c r="S2" s="46"/>
      <c r="T2" s="46"/>
      <c r="U2" s="46"/>
      <c r="V2" s="46"/>
      <c r="W2" s="46"/>
      <c r="X2" s="46"/>
      <c r="Y2" s="46"/>
      <c r="Z2" s="46"/>
      <c r="AA2" s="46"/>
      <c r="AB2" s="46"/>
      <c r="AC2" s="46"/>
      <c r="AD2" s="46"/>
      <c r="AE2" s="46"/>
      <c r="AF2" s="46"/>
      <c r="AG2" s="46"/>
      <c r="AH2" s="46"/>
      <c r="AI2" s="46"/>
      <c r="AJ2" s="46"/>
      <c r="AK2" s="46"/>
      <c r="AL2" s="87"/>
      <c r="AM2" s="87"/>
      <c r="AN2" s="87"/>
      <c r="AO2" s="87"/>
      <c r="AP2" s="87"/>
      <c r="AQ2" s="87"/>
      <c r="AR2" s="87"/>
      <c r="AS2" s="14"/>
      <c r="AT2" s="14"/>
      <c r="AU2" s="14"/>
      <c r="AV2" s="14"/>
      <c r="AW2" s="14"/>
      <c r="AX2" s="14"/>
      <c r="AY2" s="14"/>
      <c r="AZ2" s="14"/>
      <c r="BA2" s="14"/>
      <c r="BB2" s="14"/>
      <c r="BC2" s="14"/>
      <c r="BD2" s="14"/>
      <c r="BE2" s="14"/>
      <c r="BF2" s="14"/>
      <c r="BG2" s="14"/>
      <c r="BH2" s="14"/>
    </row>
    <row r="3" spans="1:60" ht="15" customHeight="1" thickBot="1" x14ac:dyDescent="0.4">
      <c r="B3" s="92" t="s">
        <v>272</v>
      </c>
      <c r="C3" s="93" t="s">
        <v>13</v>
      </c>
      <c r="D3" s="94">
        <v>1.57</v>
      </c>
      <c r="E3" s="95">
        <f>25</f>
        <v>25</v>
      </c>
      <c r="F3" s="96" t="s">
        <v>13</v>
      </c>
      <c r="G3" s="97">
        <v>1.57</v>
      </c>
      <c r="H3" s="95">
        <v>25</v>
      </c>
      <c r="I3" s="96" t="s">
        <v>13</v>
      </c>
      <c r="J3" s="151">
        <f t="shared" ref="J3:J34" si="0">0.25*0.9</f>
        <v>0.22500000000000001</v>
      </c>
      <c r="K3" s="151">
        <f>10*0.9</f>
        <v>9</v>
      </c>
      <c r="L3" s="75"/>
      <c r="M3" s="75"/>
      <c r="N3" s="98" t="s">
        <v>21</v>
      </c>
      <c r="O3" s="99">
        <v>0.45</v>
      </c>
      <c r="P3" s="48">
        <v>25.03</v>
      </c>
      <c r="Q3" s="100"/>
      <c r="R3" s="86" t="s">
        <v>385</v>
      </c>
      <c r="S3" s="532" t="s">
        <v>389</v>
      </c>
      <c r="T3" s="533"/>
      <c r="U3" s="533"/>
      <c r="V3" s="533"/>
      <c r="W3" s="533"/>
      <c r="X3" s="534"/>
      <c r="Y3" s="532" t="s">
        <v>390</v>
      </c>
      <c r="Z3" s="533"/>
      <c r="AA3" s="533"/>
      <c r="AB3" s="533"/>
      <c r="AC3" s="533"/>
      <c r="AD3" s="534"/>
      <c r="AE3" s="532" t="s">
        <v>391</v>
      </c>
      <c r="AF3" s="533"/>
      <c r="AG3" s="533"/>
      <c r="AH3" s="533"/>
      <c r="AI3" s="533"/>
      <c r="AJ3" s="534"/>
      <c r="AK3" s="46"/>
      <c r="AL3" s="86" t="s">
        <v>385</v>
      </c>
      <c r="AM3" s="529" t="s">
        <v>389</v>
      </c>
      <c r="AN3" s="530"/>
      <c r="AO3" s="530"/>
      <c r="AP3" s="530"/>
      <c r="AQ3" s="530"/>
      <c r="AR3" s="531"/>
      <c r="AS3" s="529" t="s">
        <v>390</v>
      </c>
      <c r="AT3" s="530"/>
      <c r="AU3" s="530"/>
      <c r="AV3" s="530"/>
      <c r="AW3" s="530"/>
      <c r="AX3" s="531"/>
      <c r="AY3" s="529" t="s">
        <v>391</v>
      </c>
      <c r="AZ3" s="530"/>
      <c r="BA3" s="530"/>
      <c r="BB3" s="530"/>
      <c r="BC3" s="530"/>
      <c r="BD3" s="531"/>
      <c r="BE3" s="85"/>
      <c r="BF3" s="85"/>
      <c r="BG3" s="85"/>
      <c r="BH3" s="14"/>
    </row>
    <row r="4" spans="1:60" ht="41.5" customHeight="1" thickBot="1" x14ac:dyDescent="0.4">
      <c r="B4" s="101" t="s">
        <v>273</v>
      </c>
      <c r="C4" s="93" t="s">
        <v>62</v>
      </c>
      <c r="D4" s="94">
        <f>IF(Table1[[#This Row],[2022 Value known?]]="No",6,0)</f>
        <v>6</v>
      </c>
      <c r="E4" s="95">
        <f>25</f>
        <v>25</v>
      </c>
      <c r="F4" s="96" t="s">
        <v>62</v>
      </c>
      <c r="G4" s="97">
        <f>IF(Table1[[#This Row],[2025 Value known?]]="No",6,0)</f>
        <v>6</v>
      </c>
      <c r="H4" s="95">
        <v>25</v>
      </c>
      <c r="I4" s="96" t="s">
        <v>13</v>
      </c>
      <c r="J4" s="152">
        <f t="shared" si="0"/>
        <v>0.22500000000000001</v>
      </c>
      <c r="K4" s="151">
        <f t="shared" ref="K4:K65" si="1">10*0.9</f>
        <v>9</v>
      </c>
      <c r="L4" s="75"/>
      <c r="M4" s="75"/>
      <c r="N4" s="98" t="s">
        <v>401</v>
      </c>
      <c r="O4" s="99">
        <v>0.02</v>
      </c>
      <c r="P4" s="55">
        <v>3</v>
      </c>
      <c r="Q4" s="100"/>
      <c r="R4" s="195" t="s">
        <v>77</v>
      </c>
      <c r="S4" s="546" t="s">
        <v>78</v>
      </c>
      <c r="T4" s="547"/>
      <c r="U4" s="539" t="s">
        <v>253</v>
      </c>
      <c r="V4" s="539"/>
      <c r="W4" s="539" t="s">
        <v>254</v>
      </c>
      <c r="X4" s="540"/>
      <c r="Y4" s="541" t="s">
        <v>78</v>
      </c>
      <c r="Z4" s="539"/>
      <c r="AA4" s="539" t="s">
        <v>253</v>
      </c>
      <c r="AB4" s="539"/>
      <c r="AC4" s="539" t="s">
        <v>254</v>
      </c>
      <c r="AD4" s="540"/>
      <c r="AE4" s="542" t="s">
        <v>78</v>
      </c>
      <c r="AF4" s="539"/>
      <c r="AG4" s="539" t="s">
        <v>253</v>
      </c>
      <c r="AH4" s="539"/>
      <c r="AI4" s="539" t="s">
        <v>254</v>
      </c>
      <c r="AJ4" s="540"/>
      <c r="AK4" s="46"/>
      <c r="AL4" s="177" t="s">
        <v>77</v>
      </c>
      <c r="AM4" s="548" t="s">
        <v>78</v>
      </c>
      <c r="AN4" s="549"/>
      <c r="AO4" s="537" t="s">
        <v>253</v>
      </c>
      <c r="AP4" s="536"/>
      <c r="AQ4" s="537" t="s">
        <v>254</v>
      </c>
      <c r="AR4" s="538"/>
      <c r="AS4" s="535" t="s">
        <v>78</v>
      </c>
      <c r="AT4" s="536"/>
      <c r="AU4" s="537" t="s">
        <v>253</v>
      </c>
      <c r="AV4" s="536"/>
      <c r="AW4" s="537" t="s">
        <v>254</v>
      </c>
      <c r="AX4" s="538"/>
      <c r="AY4" s="535" t="s">
        <v>78</v>
      </c>
      <c r="AZ4" s="536"/>
      <c r="BA4" s="537" t="s">
        <v>253</v>
      </c>
      <c r="BB4" s="536"/>
      <c r="BC4" s="537" t="s">
        <v>254</v>
      </c>
      <c r="BD4" s="538"/>
      <c r="BE4" s="84"/>
      <c r="BF4" s="84"/>
      <c r="BG4" s="84"/>
      <c r="BH4" s="14"/>
    </row>
    <row r="5" spans="1:60" ht="15" customHeight="1" x14ac:dyDescent="0.3">
      <c r="B5" s="101" t="s">
        <v>274</v>
      </c>
      <c r="C5" s="93" t="s">
        <v>62</v>
      </c>
      <c r="D5" s="94">
        <f>IF(Table1[[#This Row],[2022 Value known?]]="No",6,0)</f>
        <v>6</v>
      </c>
      <c r="E5" s="95">
        <f>25</f>
        <v>25</v>
      </c>
      <c r="F5" s="96" t="s">
        <v>62</v>
      </c>
      <c r="G5" s="97">
        <f>IF(Table1[[#This Row],[2025 Value known?]]="No",6,0)</f>
        <v>6</v>
      </c>
      <c r="H5" s="95">
        <v>25</v>
      </c>
      <c r="I5" s="96" t="s">
        <v>13</v>
      </c>
      <c r="J5" s="152">
        <f t="shared" si="0"/>
        <v>0.22500000000000001</v>
      </c>
      <c r="K5" s="151">
        <f t="shared" si="1"/>
        <v>9</v>
      </c>
      <c r="L5" s="75"/>
      <c r="M5" s="75"/>
      <c r="N5" s="98" t="s">
        <v>34</v>
      </c>
      <c r="O5" s="99">
        <v>0.02</v>
      </c>
      <c r="P5" s="55">
        <v>3</v>
      </c>
      <c r="Q5" s="100"/>
      <c r="R5" s="196" t="s">
        <v>23</v>
      </c>
      <c r="S5" s="194">
        <v>0.14000000000000001</v>
      </c>
      <c r="T5" s="175">
        <v>0.14000000000000001</v>
      </c>
      <c r="U5" s="175">
        <v>0.19</v>
      </c>
      <c r="V5" s="175">
        <v>0.19</v>
      </c>
      <c r="W5" s="175">
        <v>0.5</v>
      </c>
      <c r="X5" s="176">
        <v>0.51</v>
      </c>
      <c r="Y5" s="194">
        <v>0.14000000000000001</v>
      </c>
      <c r="Z5" s="175">
        <v>0.14000000000000001</v>
      </c>
      <c r="AA5" s="175">
        <v>0.19</v>
      </c>
      <c r="AB5" s="175">
        <v>0.19</v>
      </c>
      <c r="AC5" s="175">
        <v>0.5</v>
      </c>
      <c r="AD5" s="176">
        <v>0.51</v>
      </c>
      <c r="AE5" s="191">
        <v>1.31</v>
      </c>
      <c r="AF5" s="175">
        <v>0.98</v>
      </c>
      <c r="AG5" s="175">
        <v>0.41</v>
      </c>
      <c r="AH5" s="175">
        <v>0.41</v>
      </c>
      <c r="AI5" s="175">
        <v>0.83</v>
      </c>
      <c r="AJ5" s="176">
        <v>0.84</v>
      </c>
      <c r="AK5" s="46"/>
      <c r="AL5" s="180" t="s">
        <v>23</v>
      </c>
      <c r="AM5" s="184">
        <v>35.869999999999997</v>
      </c>
      <c r="AN5" s="184">
        <v>35.869999999999997</v>
      </c>
      <c r="AO5" s="184">
        <v>12.05</v>
      </c>
      <c r="AP5" s="184">
        <v>12.15</v>
      </c>
      <c r="AQ5" s="184">
        <v>11.17</v>
      </c>
      <c r="AR5" s="184">
        <v>11.3</v>
      </c>
      <c r="AS5" s="184">
        <v>35.869999999999997</v>
      </c>
      <c r="AT5" s="184">
        <v>35.869999999999997</v>
      </c>
      <c r="AU5" s="184">
        <v>12.05</v>
      </c>
      <c r="AV5" s="184">
        <v>12.15</v>
      </c>
      <c r="AW5" s="184">
        <v>11.17</v>
      </c>
      <c r="AX5" s="184">
        <v>11.3</v>
      </c>
      <c r="AY5" s="184">
        <v>22.54</v>
      </c>
      <c r="AZ5" s="184">
        <v>18.100000000000001</v>
      </c>
      <c r="BA5" s="184">
        <v>17.170000000000002</v>
      </c>
      <c r="BB5" s="184">
        <v>17.32</v>
      </c>
      <c r="BC5" s="184">
        <v>12.96</v>
      </c>
      <c r="BD5" s="185">
        <v>13.11</v>
      </c>
      <c r="BE5" s="35"/>
      <c r="BF5" s="35"/>
      <c r="BG5" s="35"/>
      <c r="BH5" s="14"/>
    </row>
    <row r="6" spans="1:60" ht="15" customHeight="1" x14ac:dyDescent="0.3">
      <c r="B6" s="101" t="s">
        <v>275</v>
      </c>
      <c r="C6" s="93" t="s">
        <v>13</v>
      </c>
      <c r="D6" s="156">
        <f>1*0.9</f>
        <v>0.9</v>
      </c>
      <c r="E6" s="95">
        <f>25</f>
        <v>25</v>
      </c>
      <c r="F6" s="96" t="s">
        <v>13</v>
      </c>
      <c r="G6" s="158">
        <f>0.6*0.9</f>
        <v>0.54</v>
      </c>
      <c r="H6" s="95">
        <v>25</v>
      </c>
      <c r="I6" s="96" t="s">
        <v>13</v>
      </c>
      <c r="J6" s="152">
        <f t="shared" si="0"/>
        <v>0.22500000000000001</v>
      </c>
      <c r="K6" s="151">
        <f t="shared" si="1"/>
        <v>9</v>
      </c>
      <c r="L6" s="75"/>
      <c r="M6" s="75"/>
      <c r="N6" s="98" t="s">
        <v>235</v>
      </c>
      <c r="O6" s="99">
        <v>0.02</v>
      </c>
      <c r="P6" s="55">
        <v>3</v>
      </c>
      <c r="Q6" s="100"/>
      <c r="R6" s="197" t="s">
        <v>251</v>
      </c>
      <c r="S6" s="190">
        <v>0.06</v>
      </c>
      <c r="T6" s="169">
        <v>0.06</v>
      </c>
      <c r="U6" s="169">
        <v>0.11</v>
      </c>
      <c r="V6" s="169">
        <v>0.11</v>
      </c>
      <c r="W6" s="169">
        <v>0.43</v>
      </c>
      <c r="X6" s="171">
        <v>0.5</v>
      </c>
      <c r="Y6" s="190">
        <v>0.06</v>
      </c>
      <c r="Z6" s="169">
        <v>0.06</v>
      </c>
      <c r="AA6" s="169">
        <v>0.11</v>
      </c>
      <c r="AB6" s="169">
        <v>0.11</v>
      </c>
      <c r="AC6" s="169">
        <v>0.43</v>
      </c>
      <c r="AD6" s="171">
        <v>0.5</v>
      </c>
      <c r="AE6" s="192">
        <v>0.11</v>
      </c>
      <c r="AF6" s="169">
        <v>0.16</v>
      </c>
      <c r="AG6" s="169">
        <v>0.22</v>
      </c>
      <c r="AH6" s="169">
        <v>0.22</v>
      </c>
      <c r="AI6" s="169">
        <v>0.68</v>
      </c>
      <c r="AJ6" s="171">
        <v>0.68</v>
      </c>
      <c r="AK6" s="46"/>
      <c r="AL6" s="170" t="s">
        <v>251</v>
      </c>
      <c r="AM6" s="183">
        <v>12.94</v>
      </c>
      <c r="AN6" s="183">
        <v>13.02</v>
      </c>
      <c r="AO6" s="183">
        <v>8.8699999999999992</v>
      </c>
      <c r="AP6" s="183">
        <v>8.93</v>
      </c>
      <c r="AQ6" s="183">
        <v>7.97</v>
      </c>
      <c r="AR6" s="183">
        <v>9.68</v>
      </c>
      <c r="AS6" s="183">
        <v>12.94</v>
      </c>
      <c r="AT6" s="183">
        <v>13.02</v>
      </c>
      <c r="AU6" s="183">
        <v>8.8699999999999992</v>
      </c>
      <c r="AV6" s="183">
        <v>8.93</v>
      </c>
      <c r="AW6" s="183">
        <v>7.97</v>
      </c>
      <c r="AX6" s="183">
        <v>9.68</v>
      </c>
      <c r="AY6" s="183">
        <v>17.55</v>
      </c>
      <c r="AZ6" s="183">
        <v>22.39</v>
      </c>
      <c r="BA6" s="183">
        <v>13.66</v>
      </c>
      <c r="BB6" s="183">
        <v>13.75</v>
      </c>
      <c r="BC6" s="183">
        <v>9.6199999999999992</v>
      </c>
      <c r="BD6" s="186">
        <v>9.65</v>
      </c>
      <c r="BE6" s="35"/>
      <c r="BF6" s="35"/>
      <c r="BG6" s="35"/>
      <c r="BH6" s="14"/>
    </row>
    <row r="7" spans="1:60" ht="15" customHeight="1" x14ac:dyDescent="0.3">
      <c r="B7" s="101" t="s">
        <v>276</v>
      </c>
      <c r="C7" s="93" t="s">
        <v>62</v>
      </c>
      <c r="D7" s="94">
        <f>IF(Table1[[#This Row],[2022 Value known?]]="No",6,0)</f>
        <v>6</v>
      </c>
      <c r="E7" s="95">
        <f>25</f>
        <v>25</v>
      </c>
      <c r="F7" s="96" t="s">
        <v>62</v>
      </c>
      <c r="G7" s="97">
        <f>IF(Table1[[#This Row],[2025 Value known?]]="No",6,0)</f>
        <v>6</v>
      </c>
      <c r="H7" s="95">
        <v>25</v>
      </c>
      <c r="I7" s="96" t="s">
        <v>13</v>
      </c>
      <c r="J7" s="152">
        <f t="shared" si="0"/>
        <v>0.22500000000000001</v>
      </c>
      <c r="K7" s="151">
        <f t="shared" si="1"/>
        <v>9</v>
      </c>
      <c r="L7" s="75"/>
      <c r="M7" s="75"/>
      <c r="N7" s="98" t="s">
        <v>400</v>
      </c>
      <c r="O7" s="99">
        <v>0</v>
      </c>
      <c r="P7" s="55">
        <v>0</v>
      </c>
      <c r="Q7" s="87"/>
      <c r="R7" s="197" t="s">
        <v>133</v>
      </c>
      <c r="S7" s="190">
        <v>0.06</v>
      </c>
      <c r="T7" s="169">
        <v>0.06</v>
      </c>
      <c r="U7" s="169">
        <v>0.28000000000000003</v>
      </c>
      <c r="V7" s="169">
        <v>0.28999999999999998</v>
      </c>
      <c r="W7" s="169">
        <v>0.55000000000000004</v>
      </c>
      <c r="X7" s="171">
        <v>0.6</v>
      </c>
      <c r="Y7" s="190">
        <v>0.06</v>
      </c>
      <c r="Z7" s="169">
        <v>0.06</v>
      </c>
      <c r="AA7" s="169">
        <v>0.28000000000000003</v>
      </c>
      <c r="AB7" s="169">
        <v>0.28999999999999998</v>
      </c>
      <c r="AC7" s="169">
        <v>0.55000000000000004</v>
      </c>
      <c r="AD7" s="171">
        <v>0.6</v>
      </c>
      <c r="AE7" s="192">
        <v>0.14000000000000001</v>
      </c>
      <c r="AF7" s="169">
        <v>0.18</v>
      </c>
      <c r="AG7" s="169">
        <v>0.6</v>
      </c>
      <c r="AH7" s="169">
        <v>0.6</v>
      </c>
      <c r="AI7" s="169">
        <v>0.94</v>
      </c>
      <c r="AJ7" s="171">
        <v>0.95</v>
      </c>
      <c r="AK7" s="46"/>
      <c r="AL7" s="170" t="s">
        <v>133</v>
      </c>
      <c r="AM7" s="183">
        <v>27.33</v>
      </c>
      <c r="AN7" s="183">
        <v>27.39</v>
      </c>
      <c r="AO7" s="183">
        <v>18.760000000000002</v>
      </c>
      <c r="AP7" s="183">
        <v>18.96</v>
      </c>
      <c r="AQ7" s="183">
        <v>18.829999999999998</v>
      </c>
      <c r="AR7" s="183">
        <v>21.55</v>
      </c>
      <c r="AS7" s="183">
        <v>27.33</v>
      </c>
      <c r="AT7" s="183">
        <v>27.39</v>
      </c>
      <c r="AU7" s="183">
        <v>18.760000000000002</v>
      </c>
      <c r="AV7" s="183">
        <v>18.96</v>
      </c>
      <c r="AW7" s="183">
        <v>18.829999999999998</v>
      </c>
      <c r="AX7" s="183">
        <v>21.55</v>
      </c>
      <c r="AY7" s="183">
        <v>33.11</v>
      </c>
      <c r="AZ7" s="183">
        <v>38.380000000000003</v>
      </c>
      <c r="BA7" s="183">
        <v>24.06</v>
      </c>
      <c r="BB7" s="183">
        <v>24.32</v>
      </c>
      <c r="BC7" s="183">
        <v>20.64</v>
      </c>
      <c r="BD7" s="186">
        <v>20.98</v>
      </c>
      <c r="BE7" s="35"/>
      <c r="BF7" s="35"/>
      <c r="BG7" s="35"/>
      <c r="BH7" s="14"/>
    </row>
    <row r="8" spans="1:60" ht="15" customHeight="1" x14ac:dyDescent="0.3">
      <c r="B8" s="102" t="s">
        <v>277</v>
      </c>
      <c r="C8" s="93" t="s">
        <v>62</v>
      </c>
      <c r="D8" s="94">
        <f>IF(Table1[[#This Row],[2022 Value known?]]="No",6,0)</f>
        <v>6</v>
      </c>
      <c r="E8" s="95">
        <f>25</f>
        <v>25</v>
      </c>
      <c r="F8" s="96" t="s">
        <v>62</v>
      </c>
      <c r="G8" s="97">
        <f>IF(Table1[[#This Row],[2025 Value known?]]="No",6,0)</f>
        <v>6</v>
      </c>
      <c r="H8" s="95">
        <v>25</v>
      </c>
      <c r="I8" s="96" t="s">
        <v>13</v>
      </c>
      <c r="J8" s="152">
        <f t="shared" si="0"/>
        <v>0.22500000000000001</v>
      </c>
      <c r="K8" s="151">
        <f t="shared" si="1"/>
        <v>9</v>
      </c>
      <c r="L8" s="75"/>
      <c r="M8" s="75"/>
      <c r="N8" s="98" t="s">
        <v>32</v>
      </c>
      <c r="O8" s="99">
        <v>-8</v>
      </c>
      <c r="P8" s="55">
        <v>-930</v>
      </c>
      <c r="Q8" s="87"/>
      <c r="R8" s="197" t="s">
        <v>252</v>
      </c>
      <c r="S8" s="190">
        <v>0.17</v>
      </c>
      <c r="T8" s="169">
        <v>0.12</v>
      </c>
      <c r="U8" s="169">
        <v>0.35</v>
      </c>
      <c r="V8" s="169">
        <v>0.38</v>
      </c>
      <c r="W8" s="169">
        <v>0.71</v>
      </c>
      <c r="X8" s="171">
        <v>0.68</v>
      </c>
      <c r="Y8" s="190">
        <v>0.17</v>
      </c>
      <c r="Z8" s="169">
        <v>0.12</v>
      </c>
      <c r="AA8" s="169">
        <v>0.35</v>
      </c>
      <c r="AB8" s="169">
        <v>0.38</v>
      </c>
      <c r="AC8" s="169">
        <v>0.71</v>
      </c>
      <c r="AD8" s="171">
        <v>0.68</v>
      </c>
      <c r="AE8" s="192">
        <v>0.26</v>
      </c>
      <c r="AF8" s="169">
        <v>0.37</v>
      </c>
      <c r="AG8" s="169">
        <v>0.7</v>
      </c>
      <c r="AH8" s="169">
        <v>0.74</v>
      </c>
      <c r="AI8" s="169">
        <v>1.08</v>
      </c>
      <c r="AJ8" s="171">
        <v>1.1399999999999999</v>
      </c>
      <c r="AK8" s="46"/>
      <c r="AL8" s="170" t="s">
        <v>252</v>
      </c>
      <c r="AM8" s="183">
        <v>244.3</v>
      </c>
      <c r="AN8" s="183">
        <v>231.58</v>
      </c>
      <c r="AO8" s="183">
        <v>144.04</v>
      </c>
      <c r="AP8" s="183">
        <v>149.96</v>
      </c>
      <c r="AQ8" s="183">
        <v>138.11000000000001</v>
      </c>
      <c r="AR8" s="183">
        <v>140.47</v>
      </c>
      <c r="AS8" s="183">
        <v>244.3</v>
      </c>
      <c r="AT8" s="183">
        <v>231.58</v>
      </c>
      <c r="AU8" s="183">
        <v>144.04</v>
      </c>
      <c r="AV8" s="183">
        <v>149.96</v>
      </c>
      <c r="AW8" s="183">
        <v>138.11000000000001</v>
      </c>
      <c r="AX8" s="183">
        <v>140.47</v>
      </c>
      <c r="AY8" s="183">
        <v>273.57</v>
      </c>
      <c r="AZ8" s="183">
        <v>287.23</v>
      </c>
      <c r="BA8" s="183">
        <v>177.92</v>
      </c>
      <c r="BB8" s="183">
        <v>185.52</v>
      </c>
      <c r="BC8" s="183">
        <v>141.38999999999999</v>
      </c>
      <c r="BD8" s="186">
        <v>152.82</v>
      </c>
      <c r="BE8" s="35"/>
      <c r="BF8" s="35"/>
      <c r="BG8" s="35"/>
      <c r="BH8" s="14"/>
    </row>
    <row r="9" spans="1:60" ht="15" customHeight="1" x14ac:dyDescent="0.3">
      <c r="B9" s="102" t="s">
        <v>278</v>
      </c>
      <c r="C9" s="93" t="s">
        <v>62</v>
      </c>
      <c r="D9" s="94">
        <f>IF(Table1[[#This Row],[2022 Value known?]]="No",6,0)</f>
        <v>6</v>
      </c>
      <c r="E9" s="95">
        <f>25</f>
        <v>25</v>
      </c>
      <c r="F9" s="96" t="s">
        <v>62</v>
      </c>
      <c r="G9" s="97">
        <f>IF(Table1[[#This Row],[2025 Value known?]]="No",6,0)</f>
        <v>6</v>
      </c>
      <c r="H9" s="95">
        <v>25</v>
      </c>
      <c r="I9" s="96" t="s">
        <v>13</v>
      </c>
      <c r="J9" s="152">
        <f t="shared" si="0"/>
        <v>0.22500000000000001</v>
      </c>
      <c r="K9" s="151">
        <f t="shared" si="1"/>
        <v>9</v>
      </c>
      <c r="L9" s="75"/>
      <c r="M9" s="75"/>
      <c r="N9" s="98" t="s">
        <v>153</v>
      </c>
      <c r="O9" s="110">
        <v>0.02</v>
      </c>
      <c r="P9" s="55">
        <v>3</v>
      </c>
      <c r="Q9" s="87"/>
      <c r="R9" s="197" t="s">
        <v>388</v>
      </c>
      <c r="S9" s="190">
        <v>7.0000000000000007E-2</v>
      </c>
      <c r="T9" s="169">
        <v>7.0000000000000007E-2</v>
      </c>
      <c r="U9" s="169">
        <v>0.35</v>
      </c>
      <c r="V9" s="169">
        <v>0.38</v>
      </c>
      <c r="W9" s="169">
        <v>0.57999999999999996</v>
      </c>
      <c r="X9" s="171">
        <v>0.68</v>
      </c>
      <c r="Y9" s="190">
        <v>7.0000000000000007E-2</v>
      </c>
      <c r="Z9" s="169">
        <v>7.0000000000000007E-2</v>
      </c>
      <c r="AA9" s="169">
        <v>0.35</v>
      </c>
      <c r="AB9" s="169">
        <v>0.38</v>
      </c>
      <c r="AC9" s="169">
        <v>0.57999999999999996</v>
      </c>
      <c r="AD9" s="171">
        <v>0.68</v>
      </c>
      <c r="AE9" s="192">
        <v>0.17</v>
      </c>
      <c r="AF9" s="169">
        <v>0.23</v>
      </c>
      <c r="AG9" s="169">
        <v>0.72</v>
      </c>
      <c r="AH9" s="169">
        <v>0.76</v>
      </c>
      <c r="AI9" s="169">
        <v>1</v>
      </c>
      <c r="AJ9" s="171">
        <v>1.05</v>
      </c>
      <c r="AK9" s="46"/>
      <c r="AL9" s="170" t="s">
        <v>388</v>
      </c>
      <c r="AM9" s="183">
        <v>93.57</v>
      </c>
      <c r="AN9" s="183">
        <v>93.25</v>
      </c>
      <c r="AO9" s="183">
        <v>59.54</v>
      </c>
      <c r="AP9" s="183">
        <v>61.69</v>
      </c>
      <c r="AQ9" s="183">
        <v>56.34</v>
      </c>
      <c r="AR9" s="183">
        <v>79.38</v>
      </c>
      <c r="AS9" s="183">
        <v>93.57</v>
      </c>
      <c r="AT9" s="183">
        <v>93.25</v>
      </c>
      <c r="AU9" s="183">
        <v>59.54</v>
      </c>
      <c r="AV9" s="183">
        <v>61.69</v>
      </c>
      <c r="AW9" s="183">
        <v>56.34</v>
      </c>
      <c r="AX9" s="183">
        <v>79.38</v>
      </c>
      <c r="AY9" s="183">
        <v>109.91</v>
      </c>
      <c r="AZ9" s="183">
        <v>147.9</v>
      </c>
      <c r="BA9" s="183">
        <v>73.2</v>
      </c>
      <c r="BB9" s="183">
        <v>75.97</v>
      </c>
      <c r="BC9" s="183">
        <v>60.56</v>
      </c>
      <c r="BD9" s="186">
        <v>64.790000000000006</v>
      </c>
      <c r="BE9" s="35"/>
      <c r="BF9" s="35"/>
      <c r="BG9" s="35"/>
      <c r="BH9" s="14"/>
    </row>
    <row r="10" spans="1:60" ht="15" customHeight="1" x14ac:dyDescent="0.3">
      <c r="B10" s="103" t="s">
        <v>279</v>
      </c>
      <c r="C10" s="93" t="s">
        <v>13</v>
      </c>
      <c r="D10" s="104">
        <v>1.05</v>
      </c>
      <c r="E10" s="95">
        <f>25</f>
        <v>25</v>
      </c>
      <c r="F10" s="96" t="s">
        <v>13</v>
      </c>
      <c r="G10" s="97">
        <v>1.05</v>
      </c>
      <c r="H10" s="95">
        <v>25</v>
      </c>
      <c r="I10" s="96" t="s">
        <v>13</v>
      </c>
      <c r="J10" s="152">
        <f t="shared" si="0"/>
        <v>0.22500000000000001</v>
      </c>
      <c r="K10" s="151">
        <f t="shared" si="1"/>
        <v>9</v>
      </c>
      <c r="L10" s="75"/>
      <c r="M10" s="75"/>
      <c r="N10" s="149"/>
      <c r="O10" s="142"/>
      <c r="P10" s="100"/>
      <c r="Q10" s="46"/>
      <c r="R10" s="197" t="s">
        <v>22</v>
      </c>
      <c r="S10" s="190">
        <v>0.05</v>
      </c>
      <c r="T10" s="169">
        <v>0.05</v>
      </c>
      <c r="U10" s="169">
        <v>0.33</v>
      </c>
      <c r="V10" s="169">
        <v>0.33</v>
      </c>
      <c r="W10" s="169">
        <v>0.52</v>
      </c>
      <c r="X10" s="171">
        <v>0.53</v>
      </c>
      <c r="Y10" s="190">
        <v>0.05</v>
      </c>
      <c r="Z10" s="169">
        <v>0.05</v>
      </c>
      <c r="AA10" s="169">
        <v>0.33</v>
      </c>
      <c r="AB10" s="169">
        <v>0.33</v>
      </c>
      <c r="AC10" s="169">
        <v>0.52</v>
      </c>
      <c r="AD10" s="171">
        <v>0.53</v>
      </c>
      <c r="AE10" s="192">
        <v>0.14000000000000001</v>
      </c>
      <c r="AF10" s="169">
        <v>0.15</v>
      </c>
      <c r="AG10" s="169">
        <v>0.66</v>
      </c>
      <c r="AH10" s="169">
        <v>0.7</v>
      </c>
      <c r="AI10" s="169">
        <v>0.92</v>
      </c>
      <c r="AJ10" s="171">
        <v>0.97</v>
      </c>
      <c r="AK10" s="46"/>
      <c r="AL10" s="170" t="s">
        <v>22</v>
      </c>
      <c r="AM10" s="183">
        <v>22.09</v>
      </c>
      <c r="AN10" s="183">
        <v>22.39</v>
      </c>
      <c r="AO10" s="183">
        <v>15.49</v>
      </c>
      <c r="AP10" s="183">
        <v>15.52</v>
      </c>
      <c r="AQ10" s="183">
        <v>15.97</v>
      </c>
      <c r="AR10" s="183">
        <v>16</v>
      </c>
      <c r="AS10" s="183">
        <v>22.09</v>
      </c>
      <c r="AT10" s="183">
        <v>22.39</v>
      </c>
      <c r="AU10" s="183">
        <v>15.49</v>
      </c>
      <c r="AV10" s="183">
        <v>15.52</v>
      </c>
      <c r="AW10" s="183">
        <v>15.97</v>
      </c>
      <c r="AX10" s="183">
        <v>16</v>
      </c>
      <c r="AY10" s="183">
        <v>26.42</v>
      </c>
      <c r="AZ10" s="183">
        <v>26.19</v>
      </c>
      <c r="BA10" s="183">
        <v>19.079999999999998</v>
      </c>
      <c r="BB10" s="183">
        <v>19.09</v>
      </c>
      <c r="BC10" s="183">
        <v>17.12</v>
      </c>
      <c r="BD10" s="186">
        <v>17.02</v>
      </c>
      <c r="BE10" s="35"/>
      <c r="BF10" s="35"/>
      <c r="BG10" s="35"/>
      <c r="BH10" s="14"/>
    </row>
    <row r="11" spans="1:60" ht="15" customHeight="1" x14ac:dyDescent="0.3">
      <c r="B11" s="103" t="s">
        <v>280</v>
      </c>
      <c r="C11" s="93" t="s">
        <v>62</v>
      </c>
      <c r="D11" s="104">
        <f>IF(Table1[[#This Row],[2022 Value known?]]="No",6,0)</f>
        <v>6</v>
      </c>
      <c r="E11" s="95">
        <f>25</f>
        <v>25</v>
      </c>
      <c r="F11" s="96" t="s">
        <v>62</v>
      </c>
      <c r="G11" s="97">
        <f>IF(Table1[[#This Row],[2025 Value known?]]="No",6,0)</f>
        <v>6</v>
      </c>
      <c r="H11" s="95">
        <v>25</v>
      </c>
      <c r="I11" s="96" t="s">
        <v>13</v>
      </c>
      <c r="J11" s="152">
        <f t="shared" si="0"/>
        <v>0.22500000000000001</v>
      </c>
      <c r="K11" s="151">
        <f t="shared" si="1"/>
        <v>9</v>
      </c>
      <c r="L11" s="75"/>
      <c r="M11" s="75"/>
      <c r="N11" s="87"/>
      <c r="O11" s="107"/>
      <c r="P11" s="100"/>
      <c r="Q11" s="46"/>
      <c r="R11" s="197" t="s">
        <v>387</v>
      </c>
      <c r="S11" s="190">
        <v>0.05</v>
      </c>
      <c r="T11" s="169">
        <v>0.05</v>
      </c>
      <c r="U11" s="169">
        <v>0.34</v>
      </c>
      <c r="V11" s="169">
        <v>0.34</v>
      </c>
      <c r="W11" s="169">
        <v>0.56000000000000005</v>
      </c>
      <c r="X11" s="171">
        <v>0.56000000000000005</v>
      </c>
      <c r="Y11" s="190">
        <v>0.05</v>
      </c>
      <c r="Z11" s="169">
        <v>0.05</v>
      </c>
      <c r="AA11" s="169">
        <v>0.34</v>
      </c>
      <c r="AB11" s="169">
        <v>0.34</v>
      </c>
      <c r="AC11" s="169">
        <v>0.56000000000000005</v>
      </c>
      <c r="AD11" s="171">
        <v>0.56000000000000005</v>
      </c>
      <c r="AE11" s="192">
        <v>0.15</v>
      </c>
      <c r="AF11" s="169">
        <v>0.15</v>
      </c>
      <c r="AG11" s="169">
        <v>0.73</v>
      </c>
      <c r="AH11" s="169">
        <v>0.73</v>
      </c>
      <c r="AI11" s="169">
        <v>0.98</v>
      </c>
      <c r="AJ11" s="171">
        <v>0.98</v>
      </c>
      <c r="AK11" s="46"/>
      <c r="AL11" s="170" t="s">
        <v>387</v>
      </c>
      <c r="AM11" s="183">
        <v>26.47</v>
      </c>
      <c r="AN11" s="183">
        <v>26.54</v>
      </c>
      <c r="AO11" s="183">
        <v>19.11</v>
      </c>
      <c r="AP11" s="183">
        <v>19.16</v>
      </c>
      <c r="AQ11" s="183">
        <v>20.2</v>
      </c>
      <c r="AR11" s="183">
        <v>20.25</v>
      </c>
      <c r="AS11" s="183">
        <v>26.47</v>
      </c>
      <c r="AT11" s="183">
        <v>26.54</v>
      </c>
      <c r="AU11" s="183">
        <v>19.11</v>
      </c>
      <c r="AV11" s="183">
        <v>19.16</v>
      </c>
      <c r="AW11" s="183">
        <v>20.2</v>
      </c>
      <c r="AX11" s="183">
        <v>20.25</v>
      </c>
      <c r="AY11" s="183">
        <v>31.52</v>
      </c>
      <c r="AZ11" s="183">
        <v>31.61</v>
      </c>
      <c r="BA11" s="183">
        <v>23.75</v>
      </c>
      <c r="BB11" s="183">
        <v>23.82</v>
      </c>
      <c r="BC11" s="183">
        <v>21.97</v>
      </c>
      <c r="BD11" s="186">
        <v>22.03</v>
      </c>
      <c r="BE11" s="35"/>
      <c r="BF11" s="35"/>
      <c r="BG11" s="35"/>
      <c r="BH11" s="14"/>
    </row>
    <row r="12" spans="1:60" ht="15" customHeight="1" x14ac:dyDescent="0.3">
      <c r="B12" s="102" t="s">
        <v>281</v>
      </c>
      <c r="C12" s="93" t="s">
        <v>62</v>
      </c>
      <c r="D12" s="104">
        <f>IF(Table1[[#This Row],[2022 Value known?]]="No",6,0)</f>
        <v>6</v>
      </c>
      <c r="E12" s="95">
        <f>25</f>
        <v>25</v>
      </c>
      <c r="F12" s="106" t="s">
        <v>62</v>
      </c>
      <c r="G12" s="97">
        <f>IF(Table1[[#This Row],[2025 Value known?]]="No",6,0)</f>
        <v>6</v>
      </c>
      <c r="H12" s="95">
        <v>25</v>
      </c>
      <c r="I12" s="96" t="s">
        <v>13</v>
      </c>
      <c r="J12" s="152">
        <f t="shared" si="0"/>
        <v>0.22500000000000001</v>
      </c>
      <c r="K12" s="151">
        <f t="shared" si="1"/>
        <v>9</v>
      </c>
      <c r="L12" s="75"/>
      <c r="M12" s="75"/>
      <c r="N12" s="87"/>
      <c r="O12" s="107"/>
      <c r="P12" s="100"/>
      <c r="Q12" s="46"/>
      <c r="R12" s="197" t="s">
        <v>93</v>
      </c>
      <c r="S12" s="190">
        <v>0.05</v>
      </c>
      <c r="T12" s="169">
        <v>0.05</v>
      </c>
      <c r="U12" s="169">
        <v>0.31</v>
      </c>
      <c r="V12" s="169">
        <v>0.31</v>
      </c>
      <c r="W12" s="169">
        <v>0.53</v>
      </c>
      <c r="X12" s="171">
        <v>0.5</v>
      </c>
      <c r="Y12" s="190">
        <v>0.05</v>
      </c>
      <c r="Z12" s="169">
        <v>0.05</v>
      </c>
      <c r="AA12" s="169">
        <v>0.31</v>
      </c>
      <c r="AB12" s="169">
        <v>0.31</v>
      </c>
      <c r="AC12" s="169">
        <v>0.53</v>
      </c>
      <c r="AD12" s="171">
        <v>0.5</v>
      </c>
      <c r="AE12" s="192">
        <v>0.13</v>
      </c>
      <c r="AF12" s="169">
        <v>0.13</v>
      </c>
      <c r="AG12" s="169">
        <v>0.64</v>
      </c>
      <c r="AH12" s="169">
        <v>0.64</v>
      </c>
      <c r="AI12" s="169">
        <v>0.9</v>
      </c>
      <c r="AJ12" s="171">
        <v>0.9</v>
      </c>
      <c r="AK12" s="46"/>
      <c r="AL12" s="170" t="s">
        <v>93</v>
      </c>
      <c r="AM12" s="183">
        <v>25.28</v>
      </c>
      <c r="AN12" s="183">
        <v>25.35</v>
      </c>
      <c r="AO12" s="183">
        <v>17.62</v>
      </c>
      <c r="AP12" s="183">
        <v>17.670000000000002</v>
      </c>
      <c r="AQ12" s="183">
        <v>18.23</v>
      </c>
      <c r="AR12" s="183">
        <v>19.170000000000002</v>
      </c>
      <c r="AS12" s="183">
        <v>25.28</v>
      </c>
      <c r="AT12" s="183">
        <v>25.35</v>
      </c>
      <c r="AU12" s="183">
        <v>17.62</v>
      </c>
      <c r="AV12" s="183">
        <v>17.670000000000002</v>
      </c>
      <c r="AW12" s="183">
        <v>18.23</v>
      </c>
      <c r="AX12" s="183">
        <v>19.170000000000002</v>
      </c>
      <c r="AY12" s="183">
        <v>29.97</v>
      </c>
      <c r="AZ12" s="183">
        <v>30.05</v>
      </c>
      <c r="BA12" s="183">
        <v>21.72</v>
      </c>
      <c r="BB12" s="183">
        <v>21.77</v>
      </c>
      <c r="BC12" s="183">
        <v>19.48</v>
      </c>
      <c r="BD12" s="186">
        <v>19.52</v>
      </c>
      <c r="BE12" s="35"/>
      <c r="BF12" s="35"/>
      <c r="BG12" s="35"/>
      <c r="BH12" s="14"/>
    </row>
    <row r="13" spans="1:60" ht="15" customHeight="1" thickBot="1" x14ac:dyDescent="0.35">
      <c r="B13" s="102" t="s">
        <v>282</v>
      </c>
      <c r="C13" s="93" t="s">
        <v>62</v>
      </c>
      <c r="D13" s="104">
        <f>IF(Table1[[#This Row],[2022 Value known?]]="No",6,0)</f>
        <v>6</v>
      </c>
      <c r="E13" s="95">
        <f>25</f>
        <v>25</v>
      </c>
      <c r="F13" s="106" t="s">
        <v>62</v>
      </c>
      <c r="G13" s="97">
        <f>IF(Table1[[#This Row],[2025 Value known?]]="No",6,0)</f>
        <v>6</v>
      </c>
      <c r="H13" s="95">
        <v>25</v>
      </c>
      <c r="I13" s="96" t="s">
        <v>13</v>
      </c>
      <c r="J13" s="152">
        <f t="shared" si="0"/>
        <v>0.22500000000000001</v>
      </c>
      <c r="K13" s="151">
        <f t="shared" si="1"/>
        <v>9</v>
      </c>
      <c r="L13" s="75"/>
      <c r="M13" s="75"/>
      <c r="N13" s="87"/>
      <c r="O13" s="107"/>
      <c r="P13" s="100"/>
      <c r="Q13" s="46"/>
      <c r="R13" s="198" t="s">
        <v>586</v>
      </c>
      <c r="S13" s="172">
        <v>0.05</v>
      </c>
      <c r="T13" s="173">
        <v>0.05</v>
      </c>
      <c r="U13" s="173">
        <v>0.05</v>
      </c>
      <c r="V13" s="173">
        <v>0.05</v>
      </c>
      <c r="W13" s="173">
        <v>0.05</v>
      </c>
      <c r="X13" s="174">
        <v>0.05</v>
      </c>
      <c r="Y13" s="172">
        <v>0.05</v>
      </c>
      <c r="Z13" s="173">
        <v>0.05</v>
      </c>
      <c r="AA13" s="173">
        <v>0.05</v>
      </c>
      <c r="AB13" s="173">
        <v>0.05</v>
      </c>
      <c r="AC13" s="173">
        <v>0.05</v>
      </c>
      <c r="AD13" s="174">
        <v>0.05</v>
      </c>
      <c r="AE13" s="193">
        <v>0.13</v>
      </c>
      <c r="AF13" s="173">
        <v>0.13</v>
      </c>
      <c r="AG13" s="173">
        <v>0.13</v>
      </c>
      <c r="AH13" s="173">
        <v>0.13</v>
      </c>
      <c r="AI13" s="173">
        <v>0.13</v>
      </c>
      <c r="AJ13" s="174">
        <v>0.13</v>
      </c>
      <c r="AK13" s="46"/>
      <c r="AL13" s="172" t="s">
        <v>586</v>
      </c>
      <c r="AM13" s="173">
        <v>25.35</v>
      </c>
      <c r="AN13" s="173">
        <v>25.35</v>
      </c>
      <c r="AO13" s="173">
        <v>25.35</v>
      </c>
      <c r="AP13" s="173">
        <v>25.35</v>
      </c>
      <c r="AQ13" s="173">
        <v>25.35</v>
      </c>
      <c r="AR13" s="173">
        <v>25.35</v>
      </c>
      <c r="AS13" s="173">
        <v>25.35</v>
      </c>
      <c r="AT13" s="173">
        <v>25.35</v>
      </c>
      <c r="AU13" s="173">
        <v>25.35</v>
      </c>
      <c r="AV13" s="173">
        <v>25.35</v>
      </c>
      <c r="AW13" s="173">
        <v>25.35</v>
      </c>
      <c r="AX13" s="173">
        <v>25.35</v>
      </c>
      <c r="AY13" s="187">
        <v>30.05</v>
      </c>
      <c r="AZ13" s="187">
        <v>30.05</v>
      </c>
      <c r="BA13" s="187">
        <v>30.05</v>
      </c>
      <c r="BB13" s="187">
        <v>30.05</v>
      </c>
      <c r="BC13" s="187">
        <v>30.05</v>
      </c>
      <c r="BD13" s="188">
        <v>30.05</v>
      </c>
      <c r="BE13" s="14"/>
      <c r="BF13" s="14"/>
      <c r="BG13" s="14"/>
      <c r="BH13" s="14"/>
    </row>
    <row r="14" spans="1:60" ht="15" customHeight="1" thickBot="1" x14ac:dyDescent="0.4">
      <c r="B14" s="102" t="s">
        <v>283</v>
      </c>
      <c r="C14" s="108" t="s">
        <v>13</v>
      </c>
      <c r="D14" s="104">
        <v>0.69</v>
      </c>
      <c r="E14" s="95">
        <f>25</f>
        <v>25</v>
      </c>
      <c r="F14" s="109" t="s">
        <v>13</v>
      </c>
      <c r="G14" s="97">
        <v>0.69</v>
      </c>
      <c r="H14" s="95">
        <v>25</v>
      </c>
      <c r="I14" s="96" t="s">
        <v>13</v>
      </c>
      <c r="J14" s="152">
        <f t="shared" si="0"/>
        <v>0.22500000000000001</v>
      </c>
      <c r="K14" s="151">
        <f t="shared" si="1"/>
        <v>9</v>
      </c>
      <c r="L14" s="75"/>
      <c r="M14" s="75"/>
      <c r="N14" s="87"/>
      <c r="O14" s="107"/>
      <c r="P14" s="87"/>
      <c r="Q14" s="46"/>
      <c r="R14" s="86" t="s">
        <v>392</v>
      </c>
      <c r="S14" s="543" t="s">
        <v>389</v>
      </c>
      <c r="T14" s="544"/>
      <c r="U14" s="544"/>
      <c r="V14" s="544"/>
      <c r="W14" s="544"/>
      <c r="X14" s="545"/>
      <c r="Y14" s="543" t="s">
        <v>390</v>
      </c>
      <c r="Z14" s="544"/>
      <c r="AA14" s="544"/>
      <c r="AB14" s="544"/>
      <c r="AC14" s="544"/>
      <c r="AD14" s="545"/>
      <c r="AE14" s="543" t="s">
        <v>391</v>
      </c>
      <c r="AF14" s="544"/>
      <c r="AG14" s="544"/>
      <c r="AH14" s="544"/>
      <c r="AI14" s="544"/>
      <c r="AJ14" s="545"/>
      <c r="AK14" s="46"/>
      <c r="AL14" s="86" t="s">
        <v>392</v>
      </c>
      <c r="AM14" s="543" t="s">
        <v>389</v>
      </c>
      <c r="AN14" s="544"/>
      <c r="AO14" s="544"/>
      <c r="AP14" s="544"/>
      <c r="AQ14" s="544"/>
      <c r="AR14" s="545"/>
      <c r="AS14" s="543" t="s">
        <v>390</v>
      </c>
      <c r="AT14" s="544"/>
      <c r="AU14" s="544"/>
      <c r="AV14" s="544"/>
      <c r="AW14" s="544"/>
      <c r="AX14" s="545"/>
      <c r="AY14" s="543" t="s">
        <v>391</v>
      </c>
      <c r="AZ14" s="544"/>
      <c r="BA14" s="544"/>
      <c r="BB14" s="544"/>
      <c r="BC14" s="544"/>
      <c r="BD14" s="545"/>
      <c r="BE14" s="14"/>
      <c r="BF14" s="14"/>
      <c r="BG14" s="14"/>
      <c r="BH14" s="14"/>
    </row>
    <row r="15" spans="1:60" ht="15" customHeight="1" thickBot="1" x14ac:dyDescent="0.4">
      <c r="B15" s="102" t="s">
        <v>284</v>
      </c>
      <c r="C15" s="108" t="s">
        <v>62</v>
      </c>
      <c r="D15" s="104">
        <f>IF(Table1[[#This Row],[2022 Value known?]]="No",6,0)</f>
        <v>6</v>
      </c>
      <c r="E15" s="95">
        <f>25</f>
        <v>25</v>
      </c>
      <c r="F15" s="109" t="s">
        <v>62</v>
      </c>
      <c r="G15" s="97">
        <f>IF(Table1[[#This Row],[2025 Value known?]]="No",6,0)</f>
        <v>6</v>
      </c>
      <c r="H15" s="95">
        <v>25</v>
      </c>
      <c r="I15" s="96" t="s">
        <v>13</v>
      </c>
      <c r="J15" s="152">
        <f t="shared" si="0"/>
        <v>0.22500000000000001</v>
      </c>
      <c r="K15" s="151">
        <f t="shared" si="1"/>
        <v>9</v>
      </c>
      <c r="L15" s="75"/>
      <c r="M15" s="75"/>
      <c r="N15" s="87"/>
      <c r="O15" s="107"/>
      <c r="P15" s="87"/>
      <c r="Q15" s="46"/>
      <c r="R15" s="199" t="s">
        <v>77</v>
      </c>
      <c r="S15" s="178" t="s">
        <v>78</v>
      </c>
      <c r="T15" s="179"/>
      <c r="U15" s="537" t="s">
        <v>253</v>
      </c>
      <c r="V15" s="536"/>
      <c r="W15" s="537" t="s">
        <v>254</v>
      </c>
      <c r="X15" s="538"/>
      <c r="Y15" s="535" t="s">
        <v>78</v>
      </c>
      <c r="Z15" s="536"/>
      <c r="AA15" s="537" t="s">
        <v>253</v>
      </c>
      <c r="AB15" s="536"/>
      <c r="AC15" s="537" t="s">
        <v>254</v>
      </c>
      <c r="AD15" s="538"/>
      <c r="AE15" s="535" t="s">
        <v>78</v>
      </c>
      <c r="AF15" s="536"/>
      <c r="AG15" s="537" t="s">
        <v>253</v>
      </c>
      <c r="AH15" s="536"/>
      <c r="AI15" s="537" t="s">
        <v>254</v>
      </c>
      <c r="AJ15" s="538"/>
      <c r="AK15" s="46"/>
      <c r="AL15" s="177" t="s">
        <v>77</v>
      </c>
      <c r="AM15" s="548" t="s">
        <v>78</v>
      </c>
      <c r="AN15" s="549"/>
      <c r="AO15" s="537" t="s">
        <v>253</v>
      </c>
      <c r="AP15" s="536"/>
      <c r="AQ15" s="537" t="s">
        <v>254</v>
      </c>
      <c r="AR15" s="538"/>
      <c r="AS15" s="535" t="s">
        <v>78</v>
      </c>
      <c r="AT15" s="536"/>
      <c r="AU15" s="537" t="s">
        <v>253</v>
      </c>
      <c r="AV15" s="536"/>
      <c r="AW15" s="537" t="s">
        <v>254</v>
      </c>
      <c r="AX15" s="538"/>
      <c r="AY15" s="535" t="s">
        <v>78</v>
      </c>
      <c r="AZ15" s="536"/>
      <c r="BA15" s="537" t="s">
        <v>253</v>
      </c>
      <c r="BB15" s="536"/>
      <c r="BC15" s="537" t="s">
        <v>254</v>
      </c>
      <c r="BD15" s="538"/>
      <c r="BE15" s="14"/>
      <c r="BF15" s="14"/>
      <c r="BG15" s="14"/>
      <c r="BH15" s="14"/>
    </row>
    <row r="16" spans="1:60" ht="15" customHeight="1" x14ac:dyDescent="0.3">
      <c r="A16" s="1"/>
      <c r="B16" s="102" t="s">
        <v>285</v>
      </c>
      <c r="C16" s="108" t="s">
        <v>13</v>
      </c>
      <c r="D16" s="104">
        <v>1.89</v>
      </c>
      <c r="E16" s="95">
        <f>25</f>
        <v>25</v>
      </c>
      <c r="F16" s="109" t="s">
        <v>13</v>
      </c>
      <c r="G16" s="97">
        <v>1.89</v>
      </c>
      <c r="H16" s="95">
        <v>25</v>
      </c>
      <c r="I16" s="96" t="s">
        <v>13</v>
      </c>
      <c r="J16" s="152">
        <f t="shared" si="0"/>
        <v>0.22500000000000001</v>
      </c>
      <c r="K16" s="151">
        <f t="shared" si="1"/>
        <v>9</v>
      </c>
      <c r="L16" s="75"/>
      <c r="M16" s="75"/>
      <c r="N16" s="87"/>
      <c r="O16" s="107"/>
      <c r="P16" s="87"/>
      <c r="Q16" s="46"/>
      <c r="R16" s="200" t="s">
        <v>23</v>
      </c>
      <c r="S16" s="189">
        <v>0.14000000000000001</v>
      </c>
      <c r="T16" s="181">
        <v>0.14000000000000001</v>
      </c>
      <c r="U16" s="181">
        <v>0.27</v>
      </c>
      <c r="V16" s="181">
        <v>0.28000000000000003</v>
      </c>
      <c r="W16" s="181">
        <v>0.83</v>
      </c>
      <c r="X16" s="182">
        <v>0.85</v>
      </c>
      <c r="Y16" s="189">
        <v>0.14000000000000001</v>
      </c>
      <c r="Z16" s="181">
        <v>0.14000000000000001</v>
      </c>
      <c r="AA16" s="181">
        <v>0.27</v>
      </c>
      <c r="AB16" s="181">
        <v>0.28000000000000003</v>
      </c>
      <c r="AC16" s="181">
        <v>0.83</v>
      </c>
      <c r="AD16" s="182">
        <v>0.85</v>
      </c>
      <c r="AE16" s="189">
        <v>1.31</v>
      </c>
      <c r="AF16" s="181">
        <v>0.98</v>
      </c>
      <c r="AG16" s="181">
        <v>1.31</v>
      </c>
      <c r="AH16" s="181">
        <v>0.98</v>
      </c>
      <c r="AI16" s="181">
        <v>1.31</v>
      </c>
      <c r="AJ16" s="182">
        <v>1.31</v>
      </c>
      <c r="AK16" s="46"/>
      <c r="AL16" s="200" t="s">
        <v>23</v>
      </c>
      <c r="AM16" s="204">
        <v>35.869999999999997</v>
      </c>
      <c r="AN16" s="184">
        <v>35.869999999999997</v>
      </c>
      <c r="AO16" s="184">
        <v>22.72</v>
      </c>
      <c r="AP16" s="184">
        <v>24.35</v>
      </c>
      <c r="AQ16" s="184">
        <v>18.309999999999999</v>
      </c>
      <c r="AR16" s="185">
        <v>18.64</v>
      </c>
      <c r="AS16" s="204">
        <v>35.869999999999997</v>
      </c>
      <c r="AT16" s="184">
        <v>35.869999999999997</v>
      </c>
      <c r="AU16" s="184">
        <v>22.72</v>
      </c>
      <c r="AV16" s="184">
        <v>24.35</v>
      </c>
      <c r="AW16" s="184">
        <v>18.309999999999999</v>
      </c>
      <c r="AX16" s="185">
        <v>18.64</v>
      </c>
      <c r="AY16" s="202">
        <v>22.54</v>
      </c>
      <c r="AZ16" s="184">
        <v>18.100000000000001</v>
      </c>
      <c r="BA16" s="184">
        <v>22.54</v>
      </c>
      <c r="BB16" s="184">
        <v>18.100000000000001</v>
      </c>
      <c r="BC16" s="184">
        <v>22.54</v>
      </c>
      <c r="BD16" s="185">
        <v>22.54</v>
      </c>
      <c r="BE16" s="14"/>
      <c r="BF16" s="14"/>
      <c r="BG16" s="14"/>
      <c r="BH16" s="14"/>
    </row>
    <row r="17" spans="1:60" ht="15" customHeight="1" x14ac:dyDescent="0.3">
      <c r="A17" s="1"/>
      <c r="B17" s="102" t="s">
        <v>286</v>
      </c>
      <c r="C17" s="108" t="s">
        <v>62</v>
      </c>
      <c r="D17" s="104">
        <f>IF(Table1[[#This Row],[2022 Value known?]]="No",6,0)</f>
        <v>6</v>
      </c>
      <c r="E17" s="95">
        <f>25</f>
        <v>25</v>
      </c>
      <c r="F17" s="109" t="s">
        <v>62</v>
      </c>
      <c r="G17" s="97">
        <f>IF(Table1[[#This Row],[2025 Value known?]]="No",6,0)</f>
        <v>6</v>
      </c>
      <c r="H17" s="95">
        <v>25</v>
      </c>
      <c r="I17" s="96" t="s">
        <v>13</v>
      </c>
      <c r="J17" s="152">
        <f t="shared" si="0"/>
        <v>0.22500000000000001</v>
      </c>
      <c r="K17" s="151">
        <f t="shared" si="1"/>
        <v>9</v>
      </c>
      <c r="L17" s="75"/>
      <c r="M17" s="46"/>
      <c r="N17" s="111" t="s">
        <v>371</v>
      </c>
      <c r="O17" s="112" t="s">
        <v>372</v>
      </c>
      <c r="P17" s="113" t="s">
        <v>373</v>
      </c>
      <c r="Q17" s="46"/>
      <c r="R17" s="197" t="s">
        <v>251</v>
      </c>
      <c r="S17" s="190">
        <v>0.09</v>
      </c>
      <c r="T17" s="169">
        <v>0.09</v>
      </c>
      <c r="U17" s="169">
        <v>0.15</v>
      </c>
      <c r="V17" s="169">
        <v>0.15</v>
      </c>
      <c r="W17" s="169">
        <v>0.51</v>
      </c>
      <c r="X17" s="171">
        <v>0.51</v>
      </c>
      <c r="Y17" s="190">
        <v>0.09</v>
      </c>
      <c r="Z17" s="169">
        <v>0.09</v>
      </c>
      <c r="AA17" s="169">
        <v>0.15</v>
      </c>
      <c r="AB17" s="169">
        <v>0.15</v>
      </c>
      <c r="AC17" s="169">
        <v>0.51</v>
      </c>
      <c r="AD17" s="171">
        <v>0.51</v>
      </c>
      <c r="AE17" s="190">
        <v>0.16</v>
      </c>
      <c r="AF17" s="169">
        <v>0.16</v>
      </c>
      <c r="AG17" s="169">
        <v>0.26</v>
      </c>
      <c r="AH17" s="169">
        <v>0.25</v>
      </c>
      <c r="AI17" s="169">
        <v>0.8</v>
      </c>
      <c r="AJ17" s="171">
        <v>0.78</v>
      </c>
      <c r="AK17" s="46"/>
      <c r="AL17" s="197" t="s">
        <v>251</v>
      </c>
      <c r="AM17" s="205">
        <v>16.52</v>
      </c>
      <c r="AN17" s="183">
        <v>16.420000000000002</v>
      </c>
      <c r="AO17" s="183">
        <v>11.24</v>
      </c>
      <c r="AP17" s="183">
        <v>11.32</v>
      </c>
      <c r="AQ17" s="183">
        <v>9.85</v>
      </c>
      <c r="AR17" s="186">
        <v>9.8699999999999992</v>
      </c>
      <c r="AS17" s="205">
        <v>16.52</v>
      </c>
      <c r="AT17" s="183">
        <v>16.420000000000002</v>
      </c>
      <c r="AU17" s="183">
        <v>11.24</v>
      </c>
      <c r="AV17" s="183">
        <v>11.32</v>
      </c>
      <c r="AW17" s="183">
        <v>9.85</v>
      </c>
      <c r="AX17" s="186">
        <v>9.8699999999999992</v>
      </c>
      <c r="AY17" s="203">
        <v>22.39</v>
      </c>
      <c r="AZ17" s="183">
        <v>22.39</v>
      </c>
      <c r="BA17" s="183">
        <v>17.62</v>
      </c>
      <c r="BB17" s="183">
        <v>17.59</v>
      </c>
      <c r="BC17" s="183">
        <v>11.91</v>
      </c>
      <c r="BD17" s="186">
        <v>11.76</v>
      </c>
      <c r="BE17" s="14"/>
      <c r="BF17" s="14"/>
      <c r="BG17" s="14"/>
      <c r="BH17" s="14"/>
    </row>
    <row r="18" spans="1:60" ht="15" customHeight="1" x14ac:dyDescent="0.3">
      <c r="A18" s="1"/>
      <c r="B18" s="102" t="s">
        <v>287</v>
      </c>
      <c r="C18" s="108" t="s">
        <v>62</v>
      </c>
      <c r="D18" s="104">
        <f>IF(Table1[[#This Row],[2022 Value known?]]="No",6,0)</f>
        <v>6</v>
      </c>
      <c r="E18" s="95">
        <f>25</f>
        <v>25</v>
      </c>
      <c r="F18" s="109" t="s">
        <v>62</v>
      </c>
      <c r="G18" s="97">
        <f>IF(Table1[[#This Row],[2025 Value known?]]="No",6,0)</f>
        <v>6</v>
      </c>
      <c r="H18" s="95">
        <v>25</v>
      </c>
      <c r="I18" s="96" t="s">
        <v>13</v>
      </c>
      <c r="J18" s="152">
        <f t="shared" si="0"/>
        <v>0.22500000000000001</v>
      </c>
      <c r="K18" s="151">
        <f t="shared" si="1"/>
        <v>9</v>
      </c>
      <c r="L18" s="75"/>
      <c r="M18" s="46"/>
      <c r="N18" s="114" t="s">
        <v>368</v>
      </c>
      <c r="O18" s="108" t="s">
        <v>374</v>
      </c>
      <c r="P18" s="108" t="s">
        <v>374</v>
      </c>
      <c r="Q18" s="46"/>
      <c r="R18" s="197" t="s">
        <v>133</v>
      </c>
      <c r="S18" s="190">
        <v>7.0000000000000007E-2</v>
      </c>
      <c r="T18" s="169">
        <v>0.08</v>
      </c>
      <c r="U18" s="169">
        <v>0.28999999999999998</v>
      </c>
      <c r="V18" s="169">
        <v>0.3</v>
      </c>
      <c r="W18" s="169">
        <v>0.59</v>
      </c>
      <c r="X18" s="171">
        <v>0.59</v>
      </c>
      <c r="Y18" s="190">
        <v>7.0000000000000007E-2</v>
      </c>
      <c r="Z18" s="169">
        <v>0.08</v>
      </c>
      <c r="AA18" s="169">
        <v>0.28999999999999998</v>
      </c>
      <c r="AB18" s="169">
        <v>0.3</v>
      </c>
      <c r="AC18" s="169">
        <v>0.59</v>
      </c>
      <c r="AD18" s="171">
        <v>0.59</v>
      </c>
      <c r="AE18" s="190">
        <v>0.18</v>
      </c>
      <c r="AF18" s="169">
        <v>0.18</v>
      </c>
      <c r="AG18" s="169">
        <v>0.61</v>
      </c>
      <c r="AH18" s="169">
        <v>0.62</v>
      </c>
      <c r="AI18" s="169">
        <v>1</v>
      </c>
      <c r="AJ18" s="171">
        <v>1.01</v>
      </c>
      <c r="AK18" s="46"/>
      <c r="AL18" s="197" t="s">
        <v>133</v>
      </c>
      <c r="AM18" s="205">
        <v>30.56</v>
      </c>
      <c r="AN18" s="183">
        <v>31.47</v>
      </c>
      <c r="AO18" s="183">
        <v>20.94</v>
      </c>
      <c r="AP18" s="183">
        <v>21.21</v>
      </c>
      <c r="AQ18" s="183">
        <v>20.84</v>
      </c>
      <c r="AR18" s="186">
        <v>21.19</v>
      </c>
      <c r="AS18" s="205">
        <v>30.56</v>
      </c>
      <c r="AT18" s="183">
        <v>31.47</v>
      </c>
      <c r="AU18" s="183">
        <v>20.94</v>
      </c>
      <c r="AV18" s="183">
        <v>21.21</v>
      </c>
      <c r="AW18" s="183">
        <v>20.84</v>
      </c>
      <c r="AX18" s="186">
        <v>21.19</v>
      </c>
      <c r="AY18" s="203">
        <v>38.380000000000003</v>
      </c>
      <c r="AZ18" s="183">
        <v>38.380000000000003</v>
      </c>
      <c r="BA18" s="183">
        <v>27.25</v>
      </c>
      <c r="BB18" s="183">
        <v>28.27</v>
      </c>
      <c r="BC18" s="183">
        <v>23.37</v>
      </c>
      <c r="BD18" s="186">
        <v>23.83</v>
      </c>
    </row>
    <row r="19" spans="1:60" ht="15" customHeight="1" x14ac:dyDescent="0.3">
      <c r="A19" s="1"/>
      <c r="B19" s="103" t="s">
        <v>288</v>
      </c>
      <c r="C19" s="108" t="s">
        <v>13</v>
      </c>
      <c r="D19" s="104">
        <v>0.86</v>
      </c>
      <c r="E19" s="95">
        <f>25</f>
        <v>25</v>
      </c>
      <c r="F19" s="109" t="s">
        <v>13</v>
      </c>
      <c r="G19" s="97">
        <v>0.86</v>
      </c>
      <c r="H19" s="95">
        <v>25</v>
      </c>
      <c r="I19" s="96" t="s">
        <v>13</v>
      </c>
      <c r="J19" s="152">
        <f t="shared" si="0"/>
        <v>0.22500000000000001</v>
      </c>
      <c r="K19" s="151">
        <f t="shared" si="1"/>
        <v>9</v>
      </c>
      <c r="L19" s="75"/>
      <c r="M19" s="46"/>
      <c r="N19" s="114" t="s">
        <v>369</v>
      </c>
      <c r="O19" s="108">
        <v>9.6999999999999993</v>
      </c>
      <c r="P19" s="115">
        <v>72.900000000000006</v>
      </c>
      <c r="Q19" s="46"/>
      <c r="R19" s="197" t="s">
        <v>252</v>
      </c>
      <c r="S19" s="190">
        <v>0.16</v>
      </c>
      <c r="T19" s="169">
        <v>0.18</v>
      </c>
      <c r="U19" s="169">
        <v>0.39</v>
      </c>
      <c r="V19" s="169">
        <v>0.43</v>
      </c>
      <c r="W19" s="169">
        <v>0.6</v>
      </c>
      <c r="X19" s="171">
        <v>0.65</v>
      </c>
      <c r="Y19" s="190">
        <v>0.16</v>
      </c>
      <c r="Z19" s="169">
        <v>0.18</v>
      </c>
      <c r="AA19" s="169">
        <v>0.39</v>
      </c>
      <c r="AB19" s="169">
        <v>0.43</v>
      </c>
      <c r="AC19" s="169">
        <v>0.6</v>
      </c>
      <c r="AD19" s="171">
        <v>0.65</v>
      </c>
      <c r="AE19" s="190">
        <v>0.37</v>
      </c>
      <c r="AF19" s="169">
        <v>0.37</v>
      </c>
      <c r="AG19" s="169">
        <v>0.8</v>
      </c>
      <c r="AH19" s="169">
        <v>0.85</v>
      </c>
      <c r="AI19" s="169">
        <v>1.06</v>
      </c>
      <c r="AJ19" s="171">
        <v>1.26</v>
      </c>
      <c r="AK19" s="46"/>
      <c r="AL19" s="197" t="s">
        <v>252</v>
      </c>
      <c r="AM19" s="205">
        <v>257.38</v>
      </c>
      <c r="AN19" s="183">
        <v>243.03</v>
      </c>
      <c r="AO19" s="183">
        <v>158.74</v>
      </c>
      <c r="AP19" s="183">
        <v>165.42</v>
      </c>
      <c r="AQ19" s="183">
        <v>146.43</v>
      </c>
      <c r="AR19" s="186">
        <v>156.49</v>
      </c>
      <c r="AS19" s="205">
        <v>257.38</v>
      </c>
      <c r="AT19" s="183">
        <v>243.03</v>
      </c>
      <c r="AU19" s="183">
        <v>158.74</v>
      </c>
      <c r="AV19" s="183">
        <v>165.42</v>
      </c>
      <c r="AW19" s="183">
        <v>146.43</v>
      </c>
      <c r="AX19" s="186">
        <v>156.49</v>
      </c>
      <c r="AY19" s="203">
        <v>287.23</v>
      </c>
      <c r="AZ19" s="183">
        <v>287.23</v>
      </c>
      <c r="BA19" s="183">
        <v>187.03</v>
      </c>
      <c r="BB19" s="183">
        <v>195.03</v>
      </c>
      <c r="BC19" s="183">
        <v>157.06</v>
      </c>
      <c r="BD19" s="186">
        <v>160.54</v>
      </c>
    </row>
    <row r="20" spans="1:60" ht="15" customHeight="1" x14ac:dyDescent="0.3">
      <c r="A20" s="1"/>
      <c r="B20" s="103" t="s">
        <v>289</v>
      </c>
      <c r="C20" s="108" t="s">
        <v>62</v>
      </c>
      <c r="D20" s="104">
        <f>IF(Table1[[#This Row],[2022 Value known?]]="No",6,0)</f>
        <v>6</v>
      </c>
      <c r="E20" s="95">
        <f>25</f>
        <v>25</v>
      </c>
      <c r="F20" s="109" t="s">
        <v>62</v>
      </c>
      <c r="G20" s="97">
        <f>IF(Table1[[#This Row],[2025 Value known?]]="No",6,0)</f>
        <v>6</v>
      </c>
      <c r="H20" s="95">
        <v>25</v>
      </c>
      <c r="I20" s="96" t="s">
        <v>13</v>
      </c>
      <c r="J20" s="152">
        <f t="shared" si="0"/>
        <v>0.22500000000000001</v>
      </c>
      <c r="K20" s="151">
        <f t="shared" si="1"/>
        <v>9</v>
      </c>
      <c r="L20" s="75"/>
      <c r="M20" s="46"/>
      <c r="N20" s="114" t="s">
        <v>370</v>
      </c>
      <c r="O20" s="108" t="s">
        <v>374</v>
      </c>
      <c r="P20" s="108" t="s">
        <v>374</v>
      </c>
      <c r="Q20" s="46"/>
      <c r="R20" s="197" t="s">
        <v>388</v>
      </c>
      <c r="S20" s="190">
        <v>0.08</v>
      </c>
      <c r="T20" s="169">
        <v>0.1</v>
      </c>
      <c r="U20" s="169">
        <v>0.35</v>
      </c>
      <c r="V20" s="169">
        <v>0.38</v>
      </c>
      <c r="W20" s="169">
        <v>0.57999999999999996</v>
      </c>
      <c r="X20" s="171">
        <v>0.62</v>
      </c>
      <c r="Y20" s="190">
        <v>0.08</v>
      </c>
      <c r="Z20" s="169">
        <v>0.1</v>
      </c>
      <c r="AA20" s="169">
        <v>0.35</v>
      </c>
      <c r="AB20" s="169">
        <v>0.38</v>
      </c>
      <c r="AC20" s="169">
        <v>0.57999999999999996</v>
      </c>
      <c r="AD20" s="171">
        <v>0.62</v>
      </c>
      <c r="AE20" s="190">
        <v>0.23</v>
      </c>
      <c r="AF20" s="169">
        <v>0.23</v>
      </c>
      <c r="AG20" s="169">
        <v>0.77</v>
      </c>
      <c r="AH20" s="169">
        <v>0.82</v>
      </c>
      <c r="AI20" s="169">
        <v>1</v>
      </c>
      <c r="AJ20" s="171">
        <v>1.1200000000000001</v>
      </c>
      <c r="AK20" s="46"/>
      <c r="AL20" s="197" t="s">
        <v>388</v>
      </c>
      <c r="AM20" s="205">
        <v>101.74</v>
      </c>
      <c r="AN20" s="183">
        <v>125.44</v>
      </c>
      <c r="AO20" s="183">
        <v>64.59</v>
      </c>
      <c r="AP20" s="183">
        <v>67</v>
      </c>
      <c r="AQ20" s="183">
        <v>60.94</v>
      </c>
      <c r="AR20" s="186">
        <v>64.61</v>
      </c>
      <c r="AS20" s="205">
        <v>101.74</v>
      </c>
      <c r="AT20" s="183">
        <v>125.44</v>
      </c>
      <c r="AU20" s="183">
        <v>64.59</v>
      </c>
      <c r="AV20" s="183">
        <v>67</v>
      </c>
      <c r="AW20" s="183">
        <v>60.94</v>
      </c>
      <c r="AX20" s="186">
        <v>64.61</v>
      </c>
      <c r="AY20" s="203">
        <v>147.9</v>
      </c>
      <c r="AZ20" s="183">
        <v>147.9</v>
      </c>
      <c r="BA20" s="183">
        <v>97.81</v>
      </c>
      <c r="BB20" s="183">
        <v>101.8</v>
      </c>
      <c r="BC20" s="183">
        <v>65.709999999999994</v>
      </c>
      <c r="BD20" s="186">
        <v>86.47</v>
      </c>
    </row>
    <row r="21" spans="1:60" ht="15" customHeight="1" x14ac:dyDescent="0.3">
      <c r="A21" s="1"/>
      <c r="B21" s="103" t="s">
        <v>290</v>
      </c>
      <c r="C21" s="108" t="s">
        <v>62</v>
      </c>
      <c r="D21" s="104">
        <f>IF(Table1[[#This Row],[2022 Value known?]]="No",6,0)</f>
        <v>6</v>
      </c>
      <c r="E21" s="95">
        <f>25</f>
        <v>25</v>
      </c>
      <c r="F21" s="109" t="s">
        <v>62</v>
      </c>
      <c r="G21" s="97">
        <f>IF(Table1[[#This Row],[2025 Value known?]]="No",6,0)</f>
        <v>6</v>
      </c>
      <c r="H21" s="95">
        <v>25</v>
      </c>
      <c r="I21" s="96" t="s">
        <v>13</v>
      </c>
      <c r="J21" s="152">
        <f t="shared" si="0"/>
        <v>0.22500000000000001</v>
      </c>
      <c r="K21" s="151">
        <f t="shared" si="1"/>
        <v>9</v>
      </c>
      <c r="L21" s="75"/>
      <c r="M21" s="46"/>
      <c r="N21" s="114" t="s">
        <v>375</v>
      </c>
      <c r="O21" s="108">
        <v>7</v>
      </c>
      <c r="P21" s="115">
        <v>96.3</v>
      </c>
      <c r="Q21" s="46"/>
      <c r="R21" s="197" t="s">
        <v>22</v>
      </c>
      <c r="S21" s="190">
        <v>0.05</v>
      </c>
      <c r="T21" s="169">
        <v>0.05</v>
      </c>
      <c r="U21" s="169">
        <v>0.31</v>
      </c>
      <c r="V21" s="169">
        <v>0.31</v>
      </c>
      <c r="W21" s="169">
        <v>0.52</v>
      </c>
      <c r="X21" s="171">
        <v>0.52</v>
      </c>
      <c r="Y21" s="190">
        <v>0.05</v>
      </c>
      <c r="Z21" s="169">
        <v>0.05</v>
      </c>
      <c r="AA21" s="169">
        <v>0.31</v>
      </c>
      <c r="AB21" s="169">
        <v>0.31</v>
      </c>
      <c r="AC21" s="169">
        <v>0.52</v>
      </c>
      <c r="AD21" s="171">
        <v>0.52</v>
      </c>
      <c r="AE21" s="190">
        <v>0.15</v>
      </c>
      <c r="AF21" s="169">
        <v>0.15</v>
      </c>
      <c r="AG21" s="169">
        <v>0.64</v>
      </c>
      <c r="AH21" s="169">
        <v>0.66</v>
      </c>
      <c r="AI21" s="169">
        <v>0.92</v>
      </c>
      <c r="AJ21" s="171">
        <v>0.92</v>
      </c>
      <c r="AK21" s="46"/>
      <c r="AL21" s="197" t="s">
        <v>22</v>
      </c>
      <c r="AM21" s="205">
        <v>21.86</v>
      </c>
      <c r="AN21" s="183">
        <v>22.15</v>
      </c>
      <c r="AO21" s="183">
        <v>15.39</v>
      </c>
      <c r="AP21" s="183">
        <v>15.5</v>
      </c>
      <c r="AQ21" s="183">
        <v>15.96</v>
      </c>
      <c r="AR21" s="186">
        <v>15.99</v>
      </c>
      <c r="AS21" s="205">
        <v>21.86</v>
      </c>
      <c r="AT21" s="183">
        <v>22.15</v>
      </c>
      <c r="AU21" s="183">
        <v>15.39</v>
      </c>
      <c r="AV21" s="183">
        <v>15.5</v>
      </c>
      <c r="AW21" s="183">
        <v>15.96</v>
      </c>
      <c r="AX21" s="186">
        <v>15.99</v>
      </c>
      <c r="AY21" s="203">
        <v>26.19</v>
      </c>
      <c r="AZ21" s="183">
        <v>26.19</v>
      </c>
      <c r="BA21" s="183">
        <v>19.05</v>
      </c>
      <c r="BB21" s="183">
        <v>19.13</v>
      </c>
      <c r="BC21" s="183">
        <v>17.12</v>
      </c>
      <c r="BD21" s="186">
        <v>17.149999999999999</v>
      </c>
    </row>
    <row r="22" spans="1:60" ht="15" customHeight="1" x14ac:dyDescent="0.3">
      <c r="A22" s="1"/>
      <c r="B22" s="102" t="s">
        <v>291</v>
      </c>
      <c r="C22" s="108" t="s">
        <v>62</v>
      </c>
      <c r="D22" s="104">
        <f>IF(Table1[[#This Row],[2022 Value known?]]="No",6,0)</f>
        <v>6</v>
      </c>
      <c r="E22" s="95">
        <f>25</f>
        <v>25</v>
      </c>
      <c r="F22" s="109" t="s">
        <v>62</v>
      </c>
      <c r="G22" s="97">
        <f>IF(Table1[[#This Row],[2025 Value known?]]="No",6,0)</f>
        <v>6</v>
      </c>
      <c r="H22" s="95">
        <v>25</v>
      </c>
      <c r="I22" s="96" t="s">
        <v>13</v>
      </c>
      <c r="J22" s="152">
        <f t="shared" si="0"/>
        <v>0.22500000000000001</v>
      </c>
      <c r="K22" s="151">
        <f t="shared" si="1"/>
        <v>9</v>
      </c>
      <c r="L22" s="75"/>
      <c r="M22" s="46"/>
      <c r="N22" s="116" t="s">
        <v>376</v>
      </c>
      <c r="O22" s="108">
        <v>11.6</v>
      </c>
      <c r="P22" s="115">
        <v>96.3</v>
      </c>
      <c r="Q22" s="46"/>
      <c r="R22" s="197" t="s">
        <v>387</v>
      </c>
      <c r="S22" s="190">
        <v>0.06</v>
      </c>
      <c r="T22" s="169">
        <v>0.06</v>
      </c>
      <c r="U22" s="169">
        <v>0.34</v>
      </c>
      <c r="V22" s="169">
        <v>0.34</v>
      </c>
      <c r="W22" s="169">
        <v>0.56000000000000005</v>
      </c>
      <c r="X22" s="171">
        <v>0.56000000000000005</v>
      </c>
      <c r="Y22" s="190">
        <v>0.06</v>
      </c>
      <c r="Z22" s="169">
        <v>0.06</v>
      </c>
      <c r="AA22" s="169">
        <v>0.34</v>
      </c>
      <c r="AB22" s="169">
        <v>0.34</v>
      </c>
      <c r="AC22" s="169">
        <v>0.56000000000000005</v>
      </c>
      <c r="AD22" s="171">
        <v>0.56000000000000005</v>
      </c>
      <c r="AE22" s="190">
        <v>0.17</v>
      </c>
      <c r="AF22" s="169">
        <v>0.18</v>
      </c>
      <c r="AG22" s="169">
        <v>0.73</v>
      </c>
      <c r="AH22" s="169">
        <v>0.74</v>
      </c>
      <c r="AI22" s="169">
        <v>0.98</v>
      </c>
      <c r="AJ22" s="171">
        <v>0.99</v>
      </c>
      <c r="AK22" s="46"/>
      <c r="AL22" s="197" t="s">
        <v>387</v>
      </c>
      <c r="AM22" s="205">
        <v>26.13</v>
      </c>
      <c r="AN22" s="183">
        <v>26.21</v>
      </c>
      <c r="AO22" s="183">
        <v>19.23</v>
      </c>
      <c r="AP22" s="183">
        <v>19.29</v>
      </c>
      <c r="AQ22" s="183">
        <v>20.56</v>
      </c>
      <c r="AR22" s="186">
        <v>20.62</v>
      </c>
      <c r="AS22" s="205">
        <v>26.13</v>
      </c>
      <c r="AT22" s="183">
        <v>26.21</v>
      </c>
      <c r="AU22" s="183">
        <v>19.23</v>
      </c>
      <c r="AV22" s="183">
        <v>19.29</v>
      </c>
      <c r="AW22" s="183">
        <v>20.56</v>
      </c>
      <c r="AX22" s="186">
        <v>20.62</v>
      </c>
      <c r="AY22" s="203">
        <v>31.21</v>
      </c>
      <c r="AZ22" s="183">
        <v>31.51</v>
      </c>
      <c r="BA22" s="183">
        <v>23.99</v>
      </c>
      <c r="BB22" s="183">
        <v>24.03</v>
      </c>
      <c r="BC22" s="183">
        <v>22.55</v>
      </c>
      <c r="BD22" s="186">
        <v>22.42</v>
      </c>
    </row>
    <row r="23" spans="1:60" ht="15" customHeight="1" x14ac:dyDescent="0.3">
      <c r="A23" s="1"/>
      <c r="B23" s="102" t="s">
        <v>292</v>
      </c>
      <c r="C23" s="108" t="s">
        <v>13</v>
      </c>
      <c r="D23" s="104">
        <v>0.76</v>
      </c>
      <c r="E23" s="95">
        <f>25</f>
        <v>25</v>
      </c>
      <c r="F23" s="109" t="s">
        <v>13</v>
      </c>
      <c r="G23" s="97">
        <v>0.76</v>
      </c>
      <c r="H23" s="95">
        <v>25</v>
      </c>
      <c r="I23" s="96" t="s">
        <v>13</v>
      </c>
      <c r="J23" s="152">
        <f t="shared" si="0"/>
        <v>0.22500000000000001</v>
      </c>
      <c r="K23" s="151">
        <f t="shared" si="1"/>
        <v>9</v>
      </c>
      <c r="L23" s="75"/>
      <c r="M23" s="46"/>
      <c r="N23" s="87"/>
      <c r="O23" s="107"/>
      <c r="P23" s="87"/>
      <c r="Q23" s="46"/>
      <c r="R23" s="197" t="s">
        <v>93</v>
      </c>
      <c r="S23" s="190">
        <v>0.05</v>
      </c>
      <c r="T23" s="169">
        <v>0.05</v>
      </c>
      <c r="U23" s="169">
        <v>0.28999999999999998</v>
      </c>
      <c r="V23" s="169">
        <v>0.28999999999999998</v>
      </c>
      <c r="W23" s="169">
        <v>0.49</v>
      </c>
      <c r="X23" s="171">
        <v>0.49</v>
      </c>
      <c r="Y23" s="190">
        <v>0.05</v>
      </c>
      <c r="Z23" s="169">
        <v>0.05</v>
      </c>
      <c r="AA23" s="169">
        <v>0.28999999999999998</v>
      </c>
      <c r="AB23" s="169">
        <v>0.28999999999999998</v>
      </c>
      <c r="AC23" s="169">
        <v>0.49</v>
      </c>
      <c r="AD23" s="171">
        <v>0.49</v>
      </c>
      <c r="AE23" s="190">
        <v>0.15</v>
      </c>
      <c r="AF23" s="169">
        <v>0.15</v>
      </c>
      <c r="AG23" s="169">
        <v>0.61</v>
      </c>
      <c r="AH23" s="169">
        <v>0.62</v>
      </c>
      <c r="AI23" s="169">
        <v>0.85</v>
      </c>
      <c r="AJ23" s="171">
        <v>0.86</v>
      </c>
      <c r="AK23" s="46"/>
      <c r="AL23" s="197" t="s">
        <v>93</v>
      </c>
      <c r="AM23" s="205">
        <v>24.7</v>
      </c>
      <c r="AN23" s="183">
        <v>24.77</v>
      </c>
      <c r="AO23" s="183">
        <v>17.41</v>
      </c>
      <c r="AP23" s="183">
        <v>17.46</v>
      </c>
      <c r="AQ23" s="183">
        <v>18.16</v>
      </c>
      <c r="AR23" s="186">
        <v>18.2</v>
      </c>
      <c r="AS23" s="205">
        <v>24.7</v>
      </c>
      <c r="AT23" s="183">
        <v>24.77</v>
      </c>
      <c r="AU23" s="183">
        <v>17.41</v>
      </c>
      <c r="AV23" s="183">
        <v>17.46</v>
      </c>
      <c r="AW23" s="183">
        <v>18.16</v>
      </c>
      <c r="AX23" s="186">
        <v>18.2</v>
      </c>
      <c r="AY23" s="203">
        <v>31.17</v>
      </c>
      <c r="AZ23" s="183">
        <v>31.25</v>
      </c>
      <c r="BA23" s="183">
        <v>21.56</v>
      </c>
      <c r="BB23" s="183">
        <v>22.76</v>
      </c>
      <c r="BC23" s="183">
        <v>19.53</v>
      </c>
      <c r="BD23" s="186">
        <v>20.53</v>
      </c>
    </row>
    <row r="24" spans="1:60" ht="15" customHeight="1" thickBot="1" x14ac:dyDescent="0.35">
      <c r="A24" s="1"/>
      <c r="B24" s="103" t="s">
        <v>293</v>
      </c>
      <c r="C24" s="108" t="s">
        <v>62</v>
      </c>
      <c r="D24" s="104">
        <f>IF(Table1[[#This Row],[2022 Value known?]]="No",6,0)</f>
        <v>6</v>
      </c>
      <c r="E24" s="95">
        <f>25</f>
        <v>25</v>
      </c>
      <c r="F24" s="109" t="s">
        <v>62</v>
      </c>
      <c r="G24" s="97">
        <f>IF(Table1[[#This Row],[2025 Value known?]]="No",6,0)</f>
        <v>6</v>
      </c>
      <c r="H24" s="95">
        <v>25</v>
      </c>
      <c r="I24" s="96" t="s">
        <v>13</v>
      </c>
      <c r="J24" s="152">
        <f t="shared" si="0"/>
        <v>0.22500000000000001</v>
      </c>
      <c r="K24" s="151">
        <f t="shared" si="1"/>
        <v>9</v>
      </c>
      <c r="L24" s="75"/>
      <c r="M24" s="46"/>
      <c r="N24" s="87"/>
      <c r="O24" s="107"/>
      <c r="P24" s="87"/>
      <c r="Q24" s="46"/>
      <c r="R24" s="198" t="s">
        <v>586</v>
      </c>
      <c r="S24" s="172">
        <v>0.05</v>
      </c>
      <c r="T24" s="173">
        <v>0.05</v>
      </c>
      <c r="U24" s="173">
        <v>0.05</v>
      </c>
      <c r="V24" s="173">
        <v>0.05</v>
      </c>
      <c r="W24" s="173">
        <v>0.05</v>
      </c>
      <c r="X24" s="174">
        <v>0.05</v>
      </c>
      <c r="Y24" s="172">
        <v>0.05</v>
      </c>
      <c r="Z24" s="173">
        <v>0.05</v>
      </c>
      <c r="AA24" s="173">
        <v>0.05</v>
      </c>
      <c r="AB24" s="173">
        <v>0.05</v>
      </c>
      <c r="AC24" s="173">
        <v>0.05</v>
      </c>
      <c r="AD24" s="174">
        <v>0.05</v>
      </c>
      <c r="AE24" s="172">
        <v>0.62</v>
      </c>
      <c r="AF24" s="173">
        <v>0.62</v>
      </c>
      <c r="AG24" s="173">
        <v>0.62</v>
      </c>
      <c r="AH24" s="173">
        <v>0.62</v>
      </c>
      <c r="AI24" s="173">
        <v>0.62</v>
      </c>
      <c r="AJ24" s="174">
        <v>0.62</v>
      </c>
      <c r="AK24" s="46"/>
      <c r="AL24" s="198" t="s">
        <v>586</v>
      </c>
      <c r="AM24" s="172">
        <v>24.77</v>
      </c>
      <c r="AN24" s="173">
        <v>24.77</v>
      </c>
      <c r="AO24" s="173">
        <v>24.77</v>
      </c>
      <c r="AP24" s="173">
        <v>24.77</v>
      </c>
      <c r="AQ24" s="173">
        <v>24.77</v>
      </c>
      <c r="AR24" s="174">
        <v>24.77</v>
      </c>
      <c r="AS24" s="172">
        <v>24.77</v>
      </c>
      <c r="AT24" s="173">
        <v>24.77</v>
      </c>
      <c r="AU24" s="173">
        <v>24.77</v>
      </c>
      <c r="AV24" s="173">
        <v>24.77</v>
      </c>
      <c r="AW24" s="173">
        <v>24.77</v>
      </c>
      <c r="AX24" s="174">
        <v>24.77</v>
      </c>
      <c r="AY24" s="206">
        <v>26.19</v>
      </c>
      <c r="AZ24" s="187">
        <v>26.19</v>
      </c>
      <c r="BA24" s="187">
        <v>26.19</v>
      </c>
      <c r="BB24" s="187">
        <v>26.19</v>
      </c>
      <c r="BC24" s="187">
        <v>26.19</v>
      </c>
      <c r="BD24" s="188">
        <v>26.19</v>
      </c>
    </row>
    <row r="25" spans="1:60" ht="23.5" customHeight="1" thickBot="1" x14ac:dyDescent="0.4">
      <c r="A25" s="1"/>
      <c r="B25" s="102" t="s">
        <v>294</v>
      </c>
      <c r="C25" s="108" t="s">
        <v>62</v>
      </c>
      <c r="D25" s="104">
        <f>IF(Table1[[#This Row],[2022 Value known?]]="No",6,0)</f>
        <v>6</v>
      </c>
      <c r="E25" s="95">
        <f>25</f>
        <v>25</v>
      </c>
      <c r="F25" s="109" t="s">
        <v>62</v>
      </c>
      <c r="G25" s="97">
        <f>IF(Table1[[#This Row],[2025 Value known?]]="No",6,0)</f>
        <v>6</v>
      </c>
      <c r="H25" s="95">
        <v>25</v>
      </c>
      <c r="I25" s="96" t="s">
        <v>13</v>
      </c>
      <c r="J25" s="152">
        <f t="shared" si="0"/>
        <v>0.22500000000000001</v>
      </c>
      <c r="K25" s="151">
        <f t="shared" si="1"/>
        <v>9</v>
      </c>
      <c r="L25" s="75"/>
      <c r="M25" s="46"/>
      <c r="N25" s="87"/>
      <c r="O25" s="87"/>
      <c r="P25" s="87"/>
      <c r="Q25" s="46"/>
      <c r="R25" s="86" t="s">
        <v>393</v>
      </c>
      <c r="S25" s="543" t="s">
        <v>389</v>
      </c>
      <c r="T25" s="544"/>
      <c r="U25" s="544"/>
      <c r="V25" s="544"/>
      <c r="W25" s="544"/>
      <c r="X25" s="545"/>
      <c r="Y25" s="543" t="s">
        <v>390</v>
      </c>
      <c r="Z25" s="544"/>
      <c r="AA25" s="544"/>
      <c r="AB25" s="544"/>
      <c r="AC25" s="544"/>
      <c r="AD25" s="545"/>
      <c r="AE25" s="543" t="s">
        <v>391</v>
      </c>
      <c r="AF25" s="544"/>
      <c r="AG25" s="544"/>
      <c r="AH25" s="544"/>
      <c r="AI25" s="544"/>
      <c r="AJ25" s="545"/>
      <c r="AK25" s="46"/>
      <c r="AL25" s="86" t="s">
        <v>393</v>
      </c>
      <c r="AM25" s="543" t="s">
        <v>389</v>
      </c>
      <c r="AN25" s="544"/>
      <c r="AO25" s="544"/>
      <c r="AP25" s="544"/>
      <c r="AQ25" s="544"/>
      <c r="AR25" s="545"/>
      <c r="AS25" s="543" t="s">
        <v>390</v>
      </c>
      <c r="AT25" s="544"/>
      <c r="AU25" s="544"/>
      <c r="AV25" s="544"/>
      <c r="AW25" s="544"/>
      <c r="AX25" s="545"/>
      <c r="AY25" s="543" t="s">
        <v>391</v>
      </c>
      <c r="AZ25" s="544"/>
      <c r="BA25" s="544"/>
      <c r="BB25" s="544"/>
      <c r="BC25" s="544"/>
      <c r="BD25" s="545"/>
    </row>
    <row r="26" spans="1:60" ht="39" customHeight="1" thickBot="1" x14ac:dyDescent="0.4">
      <c r="A26" s="1"/>
      <c r="B26" s="102" t="s">
        <v>295</v>
      </c>
      <c r="C26" s="108" t="s">
        <v>62</v>
      </c>
      <c r="D26" s="104">
        <f>IF(Table1[[#This Row],[2022 Value known?]]="No",6,0)</f>
        <v>6</v>
      </c>
      <c r="E26" s="95">
        <f>25</f>
        <v>25</v>
      </c>
      <c r="F26" s="109" t="s">
        <v>62</v>
      </c>
      <c r="G26" s="97">
        <f>IF(Table1[[#This Row],[2025 Value known?]]="No",6,0)</f>
        <v>6</v>
      </c>
      <c r="H26" s="95">
        <v>25</v>
      </c>
      <c r="I26" s="96" t="s">
        <v>13</v>
      </c>
      <c r="J26" s="152">
        <f t="shared" si="0"/>
        <v>0.22500000000000001</v>
      </c>
      <c r="K26" s="151">
        <f t="shared" si="1"/>
        <v>9</v>
      </c>
      <c r="L26" s="75"/>
      <c r="M26" s="46"/>
      <c r="N26" s="46"/>
      <c r="O26" s="46"/>
      <c r="P26" s="46"/>
      <c r="Q26" s="46"/>
      <c r="R26" s="199" t="s">
        <v>77</v>
      </c>
      <c r="S26" s="548" t="s">
        <v>78</v>
      </c>
      <c r="T26" s="549"/>
      <c r="U26" s="537" t="s">
        <v>253</v>
      </c>
      <c r="V26" s="536"/>
      <c r="W26" s="537" t="s">
        <v>254</v>
      </c>
      <c r="X26" s="538"/>
      <c r="Y26" s="535" t="s">
        <v>78</v>
      </c>
      <c r="Z26" s="536"/>
      <c r="AA26" s="537" t="s">
        <v>253</v>
      </c>
      <c r="AB26" s="536"/>
      <c r="AC26" s="537" t="s">
        <v>254</v>
      </c>
      <c r="AD26" s="538"/>
      <c r="AE26" s="550" t="s">
        <v>78</v>
      </c>
      <c r="AF26" s="536"/>
      <c r="AG26" s="537" t="s">
        <v>253</v>
      </c>
      <c r="AH26" s="536"/>
      <c r="AI26" s="537" t="s">
        <v>254</v>
      </c>
      <c r="AJ26" s="538"/>
      <c r="AK26" s="46"/>
      <c r="AL26" s="177" t="s">
        <v>77</v>
      </c>
      <c r="AM26" s="178" t="s">
        <v>78</v>
      </c>
      <c r="AN26" s="179"/>
      <c r="AO26" s="537" t="s">
        <v>253</v>
      </c>
      <c r="AP26" s="536"/>
      <c r="AQ26" s="537" t="s">
        <v>254</v>
      </c>
      <c r="AR26" s="538"/>
      <c r="AS26" s="535" t="s">
        <v>78</v>
      </c>
      <c r="AT26" s="536"/>
      <c r="AU26" s="537" t="s">
        <v>253</v>
      </c>
      <c r="AV26" s="536"/>
      <c r="AW26" s="537" t="s">
        <v>254</v>
      </c>
      <c r="AX26" s="538"/>
      <c r="AY26" s="535" t="s">
        <v>78</v>
      </c>
      <c r="AZ26" s="536"/>
      <c r="BA26" s="537" t="s">
        <v>253</v>
      </c>
      <c r="BB26" s="536"/>
      <c r="BC26" s="537" t="s">
        <v>254</v>
      </c>
      <c r="BD26" s="538"/>
    </row>
    <row r="27" spans="1:60" ht="13" x14ac:dyDescent="0.3">
      <c r="B27" s="102" t="s">
        <v>296</v>
      </c>
      <c r="C27" s="108" t="s">
        <v>13</v>
      </c>
      <c r="D27" s="155">
        <f>1*0.9</f>
        <v>0.9</v>
      </c>
      <c r="E27" s="95">
        <f>25</f>
        <v>25</v>
      </c>
      <c r="F27" s="109" t="s">
        <v>13</v>
      </c>
      <c r="G27" s="158">
        <f>Table1[[#This Row],[2022 TP Discharge level (mg/l)]]</f>
        <v>0.9</v>
      </c>
      <c r="H27" s="95">
        <v>25</v>
      </c>
      <c r="I27" s="96" t="s">
        <v>13</v>
      </c>
      <c r="J27" s="152">
        <f t="shared" si="0"/>
        <v>0.22500000000000001</v>
      </c>
      <c r="K27" s="151">
        <f t="shared" si="1"/>
        <v>9</v>
      </c>
      <c r="L27" s="46"/>
      <c r="M27" s="46"/>
      <c r="N27" s="46"/>
      <c r="O27" s="46"/>
      <c r="P27" s="46"/>
      <c r="Q27" s="46"/>
      <c r="R27" s="200" t="s">
        <v>23</v>
      </c>
      <c r="S27" s="189">
        <v>0.14000000000000001</v>
      </c>
      <c r="T27" s="181">
        <v>0.14000000000000001</v>
      </c>
      <c r="U27" s="181">
        <v>0.28000000000000003</v>
      </c>
      <c r="V27" s="181">
        <v>0.28000000000000003</v>
      </c>
      <c r="W27" s="181">
        <v>0.88</v>
      </c>
      <c r="X27" s="182">
        <v>0.9</v>
      </c>
      <c r="Y27" s="189">
        <v>0.14000000000000001</v>
      </c>
      <c r="Z27" s="181">
        <v>0.14000000000000001</v>
      </c>
      <c r="AA27" s="181">
        <v>0.28000000000000003</v>
      </c>
      <c r="AB27" s="181">
        <v>0.28000000000000003</v>
      </c>
      <c r="AC27" s="181">
        <v>0.88</v>
      </c>
      <c r="AD27" s="182">
        <v>0.9</v>
      </c>
      <c r="AE27" s="201">
        <v>1.31</v>
      </c>
      <c r="AF27" s="181">
        <v>0.98</v>
      </c>
      <c r="AG27" s="181">
        <v>1.31</v>
      </c>
      <c r="AH27" s="181">
        <v>0.98</v>
      </c>
      <c r="AI27" s="181">
        <v>1.31</v>
      </c>
      <c r="AJ27" s="182">
        <v>1.31</v>
      </c>
      <c r="AK27" s="46"/>
      <c r="AL27" s="200" t="s">
        <v>23</v>
      </c>
      <c r="AM27" s="204">
        <v>35.869999999999997</v>
      </c>
      <c r="AN27" s="184">
        <v>35.799999999999997</v>
      </c>
      <c r="AO27" s="184">
        <v>24.09</v>
      </c>
      <c r="AP27" s="184">
        <v>24.35</v>
      </c>
      <c r="AQ27" s="184">
        <v>19.059999999999999</v>
      </c>
      <c r="AR27" s="185">
        <v>19.43</v>
      </c>
      <c r="AS27" s="204">
        <v>35.869999999999997</v>
      </c>
      <c r="AT27" s="184">
        <v>35.799999999999997</v>
      </c>
      <c r="AU27" s="184">
        <v>24.09</v>
      </c>
      <c r="AV27" s="184">
        <v>24.35</v>
      </c>
      <c r="AW27" s="184">
        <v>19.059999999999999</v>
      </c>
      <c r="AX27" s="185">
        <v>19.43</v>
      </c>
      <c r="AY27" s="202">
        <v>22.54</v>
      </c>
      <c r="AZ27" s="184">
        <v>18.100000000000001</v>
      </c>
      <c r="BA27" s="184">
        <v>22.54</v>
      </c>
      <c r="BB27" s="184">
        <v>18.100000000000001</v>
      </c>
      <c r="BC27" s="184">
        <v>22.54</v>
      </c>
      <c r="BD27" s="185">
        <v>22.54</v>
      </c>
    </row>
    <row r="28" spans="1:60" ht="13" x14ac:dyDescent="0.3">
      <c r="B28" s="102" t="s">
        <v>297</v>
      </c>
      <c r="C28" s="108" t="s">
        <v>62</v>
      </c>
      <c r="D28" s="104">
        <f>IF(Table1[[#This Row],[2022 Value known?]]="No",6,0)</f>
        <v>6</v>
      </c>
      <c r="E28" s="95">
        <f>25</f>
        <v>25</v>
      </c>
      <c r="F28" s="109" t="s">
        <v>62</v>
      </c>
      <c r="G28" s="97">
        <f>IF(Table1[[#This Row],[2025 Value known?]]="No",6,0)</f>
        <v>6</v>
      </c>
      <c r="H28" s="95">
        <v>25</v>
      </c>
      <c r="I28" s="96" t="s">
        <v>13</v>
      </c>
      <c r="J28" s="152">
        <f t="shared" si="0"/>
        <v>0.22500000000000001</v>
      </c>
      <c r="K28" s="151">
        <f t="shared" si="1"/>
        <v>9</v>
      </c>
      <c r="L28" s="46"/>
      <c r="M28" s="46"/>
      <c r="N28" s="46"/>
      <c r="O28" s="46"/>
      <c r="P28" s="46"/>
      <c r="Q28" s="46"/>
      <c r="R28" s="197" t="s">
        <v>251</v>
      </c>
      <c r="S28" s="190">
        <v>0.1</v>
      </c>
      <c r="T28" s="169">
        <v>0.1</v>
      </c>
      <c r="U28" s="169">
        <v>0.16</v>
      </c>
      <c r="V28" s="169">
        <v>0.16</v>
      </c>
      <c r="W28" s="169">
        <v>0.5</v>
      </c>
      <c r="X28" s="171">
        <v>0.5</v>
      </c>
      <c r="Y28" s="190">
        <v>0.1</v>
      </c>
      <c r="Z28" s="169">
        <v>0.1</v>
      </c>
      <c r="AA28" s="169">
        <v>0.16</v>
      </c>
      <c r="AB28" s="169">
        <v>0.16</v>
      </c>
      <c r="AC28" s="169">
        <v>0.5</v>
      </c>
      <c r="AD28" s="171">
        <v>0.5</v>
      </c>
      <c r="AE28" s="192">
        <v>0.17</v>
      </c>
      <c r="AF28" s="169">
        <v>0.16</v>
      </c>
      <c r="AG28" s="169">
        <v>0.28000000000000003</v>
      </c>
      <c r="AH28" s="169">
        <v>0.25</v>
      </c>
      <c r="AI28" s="169">
        <v>0.85</v>
      </c>
      <c r="AJ28" s="171">
        <v>0.78</v>
      </c>
      <c r="AK28" s="46"/>
      <c r="AL28" s="197" t="s">
        <v>251</v>
      </c>
      <c r="AM28" s="205">
        <v>18.149999999999999</v>
      </c>
      <c r="AN28" s="183">
        <v>18.29</v>
      </c>
      <c r="AO28" s="183">
        <v>12.39</v>
      </c>
      <c r="AP28" s="183">
        <v>12.48</v>
      </c>
      <c r="AQ28" s="183">
        <v>9.65</v>
      </c>
      <c r="AR28" s="186">
        <v>9.68</v>
      </c>
      <c r="AS28" s="205">
        <v>18.149999999999999</v>
      </c>
      <c r="AT28" s="183">
        <v>18.29</v>
      </c>
      <c r="AU28" s="183">
        <v>12.39</v>
      </c>
      <c r="AV28" s="183">
        <v>12.48</v>
      </c>
      <c r="AW28" s="183">
        <v>9.65</v>
      </c>
      <c r="AX28" s="186">
        <v>9.68</v>
      </c>
      <c r="AY28" s="203">
        <v>25</v>
      </c>
      <c r="AZ28" s="183">
        <v>22.39</v>
      </c>
      <c r="BA28" s="183">
        <v>19.5</v>
      </c>
      <c r="BB28" s="183">
        <v>17.59</v>
      </c>
      <c r="BC28" s="183">
        <v>13.14</v>
      </c>
      <c r="BD28" s="186">
        <v>11.76</v>
      </c>
    </row>
    <row r="29" spans="1:60" ht="13" x14ac:dyDescent="0.3">
      <c r="B29" s="102" t="s">
        <v>298</v>
      </c>
      <c r="C29" s="108" t="s">
        <v>62</v>
      </c>
      <c r="D29" s="104">
        <f>IF(Table1[[#This Row],[2022 Value known?]]="No",6,0)</f>
        <v>6</v>
      </c>
      <c r="E29" s="95">
        <f>25</f>
        <v>25</v>
      </c>
      <c r="F29" s="109" t="s">
        <v>62</v>
      </c>
      <c r="G29" s="97">
        <f>IF(Table1[[#This Row],[2025 Value known?]]="No",6,0)</f>
        <v>6</v>
      </c>
      <c r="H29" s="95">
        <v>25</v>
      </c>
      <c r="I29" s="96" t="s">
        <v>13</v>
      </c>
      <c r="J29" s="152">
        <f t="shared" si="0"/>
        <v>0.22500000000000001</v>
      </c>
      <c r="K29" s="151">
        <f t="shared" si="1"/>
        <v>9</v>
      </c>
      <c r="L29" s="46"/>
      <c r="M29" s="46"/>
      <c r="N29" s="46"/>
      <c r="O29" s="46"/>
      <c r="P29" s="46"/>
      <c r="Q29" s="46"/>
      <c r="R29" s="197" t="s">
        <v>133</v>
      </c>
      <c r="S29" s="190">
        <v>0.09</v>
      </c>
      <c r="T29" s="169">
        <v>0.09</v>
      </c>
      <c r="U29" s="169">
        <v>0.33</v>
      </c>
      <c r="V29" s="169">
        <v>0.33</v>
      </c>
      <c r="W29" s="169">
        <v>0.6</v>
      </c>
      <c r="X29" s="171">
        <v>0.6</v>
      </c>
      <c r="Y29" s="190">
        <v>0.09</v>
      </c>
      <c r="Z29" s="169">
        <v>0.09</v>
      </c>
      <c r="AA29" s="169">
        <v>0.33</v>
      </c>
      <c r="AB29" s="169">
        <v>0.33</v>
      </c>
      <c r="AC29" s="169">
        <v>0.6</v>
      </c>
      <c r="AD29" s="171">
        <v>0.6</v>
      </c>
      <c r="AE29" s="192">
        <v>0.2</v>
      </c>
      <c r="AF29" s="169">
        <v>0.18</v>
      </c>
      <c r="AG29" s="169">
        <v>0.67</v>
      </c>
      <c r="AH29" s="169">
        <v>0.62</v>
      </c>
      <c r="AI29" s="169">
        <v>1</v>
      </c>
      <c r="AJ29" s="171">
        <v>1.01</v>
      </c>
      <c r="AK29" s="46"/>
      <c r="AL29" s="197" t="s">
        <v>133</v>
      </c>
      <c r="AM29" s="205">
        <v>34.6</v>
      </c>
      <c r="AN29" s="183">
        <v>34.74</v>
      </c>
      <c r="AO29" s="183">
        <v>23.56</v>
      </c>
      <c r="AP29" s="183">
        <v>23.85</v>
      </c>
      <c r="AQ29" s="183">
        <v>21.18</v>
      </c>
      <c r="AR29" s="186">
        <v>21.55</v>
      </c>
      <c r="AS29" s="205">
        <v>34.6</v>
      </c>
      <c r="AT29" s="183">
        <v>34.74</v>
      </c>
      <c r="AU29" s="183">
        <v>23.56</v>
      </c>
      <c r="AV29" s="183">
        <v>23.85</v>
      </c>
      <c r="AW29" s="183">
        <v>21.18</v>
      </c>
      <c r="AX29" s="186">
        <v>21.55</v>
      </c>
      <c r="AY29" s="203">
        <v>42.91</v>
      </c>
      <c r="AZ29" s="183">
        <v>38.380000000000003</v>
      </c>
      <c r="BA29" s="183">
        <v>31.32</v>
      </c>
      <c r="BB29" s="183">
        <v>28.27</v>
      </c>
      <c r="BC29" s="183">
        <v>23.37</v>
      </c>
      <c r="BD29" s="186">
        <v>23.83</v>
      </c>
    </row>
    <row r="30" spans="1:60" ht="13" x14ac:dyDescent="0.3">
      <c r="B30" s="102" t="s">
        <v>299</v>
      </c>
      <c r="C30" s="108" t="s">
        <v>62</v>
      </c>
      <c r="D30" s="104">
        <f>IF(Table1[[#This Row],[2022 Value known?]]="No",6,0)</f>
        <v>6</v>
      </c>
      <c r="E30" s="95">
        <f>25</f>
        <v>25</v>
      </c>
      <c r="F30" s="109" t="s">
        <v>62</v>
      </c>
      <c r="G30" s="97">
        <f>IF(Table1[[#This Row],[2025 Value known?]]="No",6,0)</f>
        <v>6</v>
      </c>
      <c r="H30" s="95">
        <v>25</v>
      </c>
      <c r="I30" s="96" t="s">
        <v>13</v>
      </c>
      <c r="J30" s="152">
        <f t="shared" si="0"/>
        <v>0.22500000000000001</v>
      </c>
      <c r="K30" s="151">
        <f t="shared" si="1"/>
        <v>9</v>
      </c>
      <c r="L30" s="46"/>
      <c r="M30" s="46"/>
      <c r="N30" s="75"/>
      <c r="O30" s="75"/>
      <c r="P30" s="75"/>
      <c r="Q30" s="46"/>
      <c r="R30" s="197" t="s">
        <v>252</v>
      </c>
      <c r="S30" s="190">
        <v>0.16</v>
      </c>
      <c r="T30" s="169">
        <v>0.16</v>
      </c>
      <c r="U30" s="169">
        <v>0.41</v>
      </c>
      <c r="V30" s="169">
        <v>0.44</v>
      </c>
      <c r="W30" s="169">
        <v>0.71</v>
      </c>
      <c r="X30" s="171">
        <v>0.75</v>
      </c>
      <c r="Y30" s="190">
        <v>0.16</v>
      </c>
      <c r="Z30" s="169">
        <v>0.16</v>
      </c>
      <c r="AA30" s="169">
        <v>0.41</v>
      </c>
      <c r="AB30" s="169">
        <v>0.44</v>
      </c>
      <c r="AC30" s="169">
        <v>0.71</v>
      </c>
      <c r="AD30" s="171">
        <v>0.75</v>
      </c>
      <c r="AE30" s="192">
        <v>0.34</v>
      </c>
      <c r="AF30" s="169">
        <v>0.37</v>
      </c>
      <c r="AG30" s="169">
        <v>0.8</v>
      </c>
      <c r="AH30" s="169">
        <v>0.85</v>
      </c>
      <c r="AI30" s="169">
        <v>1.2</v>
      </c>
      <c r="AJ30" s="171">
        <v>1.26</v>
      </c>
      <c r="AK30" s="46"/>
      <c r="AL30" s="197" t="s">
        <v>252</v>
      </c>
      <c r="AM30" s="205">
        <v>228.65</v>
      </c>
      <c r="AN30" s="183">
        <v>227.66</v>
      </c>
      <c r="AO30" s="183">
        <v>141.9</v>
      </c>
      <c r="AP30" s="183">
        <v>147.63</v>
      </c>
      <c r="AQ30" s="183">
        <v>138.11000000000001</v>
      </c>
      <c r="AR30" s="186">
        <v>147.41</v>
      </c>
      <c r="AS30" s="205">
        <v>228.65</v>
      </c>
      <c r="AT30" s="183">
        <v>227.66</v>
      </c>
      <c r="AU30" s="183">
        <v>141.9</v>
      </c>
      <c r="AV30" s="183">
        <v>147.63</v>
      </c>
      <c r="AW30" s="183">
        <v>138.11000000000001</v>
      </c>
      <c r="AX30" s="186">
        <v>147.41</v>
      </c>
      <c r="AY30" s="203">
        <v>268.72000000000003</v>
      </c>
      <c r="AZ30" s="183">
        <v>287.23</v>
      </c>
      <c r="BA30" s="183">
        <v>175.37</v>
      </c>
      <c r="BB30" s="183">
        <v>195.03</v>
      </c>
      <c r="BC30" s="183">
        <v>148.53</v>
      </c>
      <c r="BD30" s="186">
        <v>160.54</v>
      </c>
    </row>
    <row r="31" spans="1:60" ht="13" x14ac:dyDescent="0.3">
      <c r="B31" s="102" t="s">
        <v>300</v>
      </c>
      <c r="C31" s="108" t="s">
        <v>13</v>
      </c>
      <c r="D31" s="104">
        <v>0.89</v>
      </c>
      <c r="E31" s="95">
        <f>25</f>
        <v>25</v>
      </c>
      <c r="F31" s="109" t="s">
        <v>13</v>
      </c>
      <c r="G31" s="97">
        <v>0.89</v>
      </c>
      <c r="H31" s="95">
        <v>25</v>
      </c>
      <c r="I31" s="96" t="s">
        <v>13</v>
      </c>
      <c r="J31" s="152">
        <f t="shared" si="0"/>
        <v>0.22500000000000001</v>
      </c>
      <c r="K31" s="151">
        <f t="shared" si="1"/>
        <v>9</v>
      </c>
      <c r="L31" s="46"/>
      <c r="M31" s="46"/>
      <c r="N31" s="75"/>
      <c r="O31" s="75"/>
      <c r="P31" s="75"/>
      <c r="Q31" s="46"/>
      <c r="R31" s="197" t="s">
        <v>388</v>
      </c>
      <c r="S31" s="190">
        <v>0.08</v>
      </c>
      <c r="T31" s="169">
        <v>0.08</v>
      </c>
      <c r="U31" s="169">
        <v>0.38</v>
      </c>
      <c r="V31" s="169">
        <v>0.42</v>
      </c>
      <c r="W31" s="169">
        <v>0.62</v>
      </c>
      <c r="X31" s="171">
        <v>0.68</v>
      </c>
      <c r="Y31" s="190">
        <v>0.08</v>
      </c>
      <c r="Z31" s="169">
        <v>0.08</v>
      </c>
      <c r="AA31" s="169">
        <v>0.38</v>
      </c>
      <c r="AB31" s="169">
        <v>0.42</v>
      </c>
      <c r="AC31" s="169">
        <v>0.62</v>
      </c>
      <c r="AD31" s="171">
        <v>0.68</v>
      </c>
      <c r="AE31" s="192">
        <v>0.21</v>
      </c>
      <c r="AF31" s="169">
        <v>0.23</v>
      </c>
      <c r="AG31" s="169">
        <v>0.77</v>
      </c>
      <c r="AH31" s="169">
        <v>0.82</v>
      </c>
      <c r="AI31" s="169">
        <v>1.06</v>
      </c>
      <c r="AJ31" s="171">
        <v>1.1200000000000001</v>
      </c>
      <c r="AK31" s="46"/>
      <c r="AL31" s="197" t="s">
        <v>388</v>
      </c>
      <c r="AM31" s="205">
        <v>89.8</v>
      </c>
      <c r="AN31" s="183">
        <v>89.51</v>
      </c>
      <c r="AO31" s="183">
        <v>57.34</v>
      </c>
      <c r="AP31" s="183">
        <v>82.66</v>
      </c>
      <c r="AQ31" s="183">
        <v>74.680000000000007</v>
      </c>
      <c r="AR31" s="186">
        <v>79.38</v>
      </c>
      <c r="AS31" s="205">
        <v>89.8</v>
      </c>
      <c r="AT31" s="183">
        <v>89.51</v>
      </c>
      <c r="AU31" s="183">
        <v>57.34</v>
      </c>
      <c r="AV31" s="183">
        <v>82.66</v>
      </c>
      <c r="AW31" s="183">
        <v>74.680000000000007</v>
      </c>
      <c r="AX31" s="186">
        <v>79.38</v>
      </c>
      <c r="AY31" s="203">
        <v>105.49</v>
      </c>
      <c r="AZ31" s="183">
        <v>147.9</v>
      </c>
      <c r="BA31" s="183">
        <v>97.81</v>
      </c>
      <c r="BB31" s="183">
        <v>101.8</v>
      </c>
      <c r="BC31" s="183">
        <v>80.36</v>
      </c>
      <c r="BD31" s="186">
        <v>86.47</v>
      </c>
    </row>
    <row r="32" spans="1:60" ht="13" x14ac:dyDescent="0.3">
      <c r="B32" s="102" t="s">
        <v>301</v>
      </c>
      <c r="C32" s="108" t="s">
        <v>62</v>
      </c>
      <c r="D32" s="104">
        <f>IF(Table1[[#This Row],[2022 Value known?]]="No",6,0)</f>
        <v>6</v>
      </c>
      <c r="E32" s="95">
        <f>25</f>
        <v>25</v>
      </c>
      <c r="F32" s="109" t="s">
        <v>62</v>
      </c>
      <c r="G32" s="97">
        <f>IF(Table1[[#This Row],[2025 Value known?]]="No",6,0)</f>
        <v>6</v>
      </c>
      <c r="H32" s="95">
        <v>25</v>
      </c>
      <c r="I32" s="96" t="s">
        <v>13</v>
      </c>
      <c r="J32" s="152">
        <f t="shared" si="0"/>
        <v>0.22500000000000001</v>
      </c>
      <c r="K32" s="151">
        <f t="shared" si="1"/>
        <v>9</v>
      </c>
      <c r="L32" s="46"/>
      <c r="M32" s="46"/>
      <c r="N32" s="75"/>
      <c r="O32" s="75"/>
      <c r="P32" s="75"/>
      <c r="Q32" s="46"/>
      <c r="R32" s="197" t="s">
        <v>22</v>
      </c>
      <c r="S32" s="190">
        <v>0.05</v>
      </c>
      <c r="T32" s="169">
        <v>0.05</v>
      </c>
      <c r="U32" s="169">
        <v>0.33</v>
      </c>
      <c r="V32" s="169">
        <v>0.33</v>
      </c>
      <c r="W32" s="169">
        <v>0.53</v>
      </c>
      <c r="X32" s="171">
        <v>0.53</v>
      </c>
      <c r="Y32" s="190">
        <v>0.05</v>
      </c>
      <c r="Z32" s="169">
        <v>0.05</v>
      </c>
      <c r="AA32" s="169">
        <v>0.33</v>
      </c>
      <c r="AB32" s="169">
        <v>0.33</v>
      </c>
      <c r="AC32" s="169">
        <v>0.53</v>
      </c>
      <c r="AD32" s="171">
        <v>0.53</v>
      </c>
      <c r="AE32" s="192">
        <v>0.16</v>
      </c>
      <c r="AF32" s="169">
        <v>0.15</v>
      </c>
      <c r="AG32" s="169">
        <v>0.66</v>
      </c>
      <c r="AH32" s="169">
        <v>0.66</v>
      </c>
      <c r="AI32" s="169">
        <v>0.96</v>
      </c>
      <c r="AJ32" s="171">
        <v>0.92</v>
      </c>
      <c r="AK32" s="46"/>
      <c r="AL32" s="197" t="s">
        <v>22</v>
      </c>
      <c r="AM32" s="205">
        <v>22.63</v>
      </c>
      <c r="AN32" s="183">
        <v>22.69</v>
      </c>
      <c r="AO32" s="183">
        <v>15.78</v>
      </c>
      <c r="AP32" s="183">
        <v>15.82</v>
      </c>
      <c r="AQ32" s="183">
        <v>15.97</v>
      </c>
      <c r="AR32" s="186">
        <v>16</v>
      </c>
      <c r="AS32" s="205">
        <v>22.63</v>
      </c>
      <c r="AT32" s="183">
        <v>22.69</v>
      </c>
      <c r="AU32" s="183">
        <v>15.78</v>
      </c>
      <c r="AV32" s="183">
        <v>15.82</v>
      </c>
      <c r="AW32" s="183">
        <v>15.97</v>
      </c>
      <c r="AX32" s="186">
        <v>16</v>
      </c>
      <c r="AY32" s="203">
        <v>26.79</v>
      </c>
      <c r="AZ32" s="183">
        <v>26.19</v>
      </c>
      <c r="BA32" s="183">
        <v>19.079999999999998</v>
      </c>
      <c r="BB32" s="183">
        <v>19.13</v>
      </c>
      <c r="BC32" s="183">
        <v>17.34</v>
      </c>
      <c r="BD32" s="186">
        <v>17.149999999999999</v>
      </c>
    </row>
    <row r="33" spans="2:56" ht="13" x14ac:dyDescent="0.3">
      <c r="B33" s="102" t="s">
        <v>302</v>
      </c>
      <c r="C33" s="108" t="s">
        <v>62</v>
      </c>
      <c r="D33" s="104">
        <f>IF(Table1[[#This Row],[2022 Value known?]]="No",6,0)</f>
        <v>6</v>
      </c>
      <c r="E33" s="95">
        <f>25</f>
        <v>25</v>
      </c>
      <c r="F33" s="109" t="s">
        <v>62</v>
      </c>
      <c r="G33" s="97">
        <f>IF(Table1[[#This Row],[2025 Value known?]]="No",6,0)</f>
        <v>6</v>
      </c>
      <c r="H33" s="95">
        <v>25</v>
      </c>
      <c r="I33" s="96" t="s">
        <v>13</v>
      </c>
      <c r="J33" s="152">
        <f t="shared" si="0"/>
        <v>0.22500000000000001</v>
      </c>
      <c r="K33" s="151">
        <f t="shared" si="1"/>
        <v>9</v>
      </c>
      <c r="L33" s="46"/>
      <c r="M33" s="46"/>
      <c r="N33" s="75"/>
      <c r="O33" s="75"/>
      <c r="P33" s="75"/>
      <c r="Q33" s="46"/>
      <c r="R33" s="197" t="s">
        <v>387</v>
      </c>
      <c r="S33" s="190">
        <v>0.06</v>
      </c>
      <c r="T33" s="169">
        <v>0.06</v>
      </c>
      <c r="U33" s="169">
        <v>0.36</v>
      </c>
      <c r="V33" s="169">
        <v>0.36</v>
      </c>
      <c r="W33" s="169">
        <v>0.56000000000000005</v>
      </c>
      <c r="X33" s="171">
        <v>0.56000000000000005</v>
      </c>
      <c r="Y33" s="190">
        <v>0.06</v>
      </c>
      <c r="Z33" s="169">
        <v>0.06</v>
      </c>
      <c r="AA33" s="169">
        <v>0.36</v>
      </c>
      <c r="AB33" s="169">
        <v>0.36</v>
      </c>
      <c r="AC33" s="169">
        <v>0.56000000000000005</v>
      </c>
      <c r="AD33" s="171">
        <v>0.56000000000000005</v>
      </c>
      <c r="AE33" s="192">
        <v>0.18</v>
      </c>
      <c r="AF33" s="169">
        <v>0.18</v>
      </c>
      <c r="AG33" s="169">
        <v>0.77</v>
      </c>
      <c r="AH33" s="169">
        <v>0.74</v>
      </c>
      <c r="AI33" s="169">
        <v>1.04</v>
      </c>
      <c r="AJ33" s="171">
        <v>0.99</v>
      </c>
      <c r="AK33" s="46"/>
      <c r="AL33" s="197" t="s">
        <v>387</v>
      </c>
      <c r="AM33" s="205">
        <v>25.75</v>
      </c>
      <c r="AN33" s="183">
        <v>25.83</v>
      </c>
      <c r="AO33" s="183">
        <v>18.7</v>
      </c>
      <c r="AP33" s="183">
        <v>18.75</v>
      </c>
      <c r="AQ33" s="183">
        <v>20.45</v>
      </c>
      <c r="AR33" s="186">
        <v>20.51</v>
      </c>
      <c r="AS33" s="205">
        <v>25.75</v>
      </c>
      <c r="AT33" s="183">
        <v>25.83</v>
      </c>
      <c r="AU33" s="183">
        <v>18.7</v>
      </c>
      <c r="AV33" s="183">
        <v>18.75</v>
      </c>
      <c r="AW33" s="183">
        <v>20.45</v>
      </c>
      <c r="AX33" s="186">
        <v>20.51</v>
      </c>
      <c r="AY33" s="203">
        <v>30.7</v>
      </c>
      <c r="AZ33" s="183">
        <v>31.51</v>
      </c>
      <c r="BA33" s="183">
        <v>23.29</v>
      </c>
      <c r="BB33" s="183">
        <v>24.03</v>
      </c>
      <c r="BC33" s="183">
        <v>21.57</v>
      </c>
      <c r="BD33" s="186">
        <v>22.42</v>
      </c>
    </row>
    <row r="34" spans="2:56" ht="13" x14ac:dyDescent="0.3">
      <c r="B34" s="102" t="s">
        <v>303</v>
      </c>
      <c r="C34" s="108" t="s">
        <v>62</v>
      </c>
      <c r="D34" s="104">
        <f>IF(Table1[[#This Row],[2022 Value known?]]="No",6,0)</f>
        <v>6</v>
      </c>
      <c r="E34" s="95">
        <f>25</f>
        <v>25</v>
      </c>
      <c r="F34" s="109" t="s">
        <v>62</v>
      </c>
      <c r="G34" s="97">
        <f>IF(Table1[[#This Row],[2025 Value known?]]="No",6,0)</f>
        <v>6</v>
      </c>
      <c r="H34" s="95">
        <v>25</v>
      </c>
      <c r="I34" s="96" t="s">
        <v>13</v>
      </c>
      <c r="J34" s="152">
        <f t="shared" si="0"/>
        <v>0.22500000000000001</v>
      </c>
      <c r="K34" s="151">
        <f t="shared" si="1"/>
        <v>9</v>
      </c>
      <c r="L34" s="46"/>
      <c r="M34" s="46"/>
      <c r="N34" s="75"/>
      <c r="O34" s="75"/>
      <c r="P34" s="75"/>
      <c r="Q34" s="46"/>
      <c r="R34" s="197" t="s">
        <v>93</v>
      </c>
      <c r="S34" s="190">
        <v>0.05</v>
      </c>
      <c r="T34" s="169">
        <v>0.05</v>
      </c>
      <c r="U34" s="169">
        <v>0.32</v>
      </c>
      <c r="V34" s="169">
        <v>0.32</v>
      </c>
      <c r="W34" s="169">
        <v>0.5</v>
      </c>
      <c r="X34" s="171">
        <v>0.5</v>
      </c>
      <c r="Y34" s="190">
        <v>0.05</v>
      </c>
      <c r="Z34" s="169">
        <v>0.05</v>
      </c>
      <c r="AA34" s="169">
        <v>0.32</v>
      </c>
      <c r="AB34" s="169">
        <v>0.32</v>
      </c>
      <c r="AC34" s="169">
        <v>0.5</v>
      </c>
      <c r="AD34" s="171">
        <v>0.5</v>
      </c>
      <c r="AE34" s="192">
        <v>0.15</v>
      </c>
      <c r="AF34" s="169">
        <v>0.15</v>
      </c>
      <c r="AG34" s="169">
        <v>0.65</v>
      </c>
      <c r="AH34" s="169">
        <v>0.62</v>
      </c>
      <c r="AI34" s="169">
        <v>0.91</v>
      </c>
      <c r="AJ34" s="171">
        <v>0.86</v>
      </c>
      <c r="AK34" s="46"/>
      <c r="AL34" s="197" t="s">
        <v>93</v>
      </c>
      <c r="AM34" s="205">
        <v>27.73</v>
      </c>
      <c r="AN34" s="183">
        <v>2.8</v>
      </c>
      <c r="AO34" s="183">
        <v>19.36</v>
      </c>
      <c r="AP34" s="183">
        <v>19.399999999999999</v>
      </c>
      <c r="AQ34" s="183">
        <v>19.12</v>
      </c>
      <c r="AR34" s="186">
        <v>19.170000000000002</v>
      </c>
      <c r="AS34" s="205">
        <v>27.73</v>
      </c>
      <c r="AT34" s="183">
        <v>2.8</v>
      </c>
      <c r="AU34" s="183">
        <v>19.36</v>
      </c>
      <c r="AV34" s="183">
        <v>19.399999999999999</v>
      </c>
      <c r="AW34" s="183">
        <v>19.12</v>
      </c>
      <c r="AX34" s="186">
        <v>19.170000000000002</v>
      </c>
      <c r="AY34" s="203">
        <v>32.9</v>
      </c>
      <c r="AZ34" s="183">
        <v>31.25</v>
      </c>
      <c r="BA34" s="183">
        <v>23.83</v>
      </c>
      <c r="BB34" s="183">
        <v>22.76</v>
      </c>
      <c r="BC34" s="183">
        <v>21.38</v>
      </c>
      <c r="BD34" s="186">
        <v>20.53</v>
      </c>
    </row>
    <row r="35" spans="2:56" ht="13.5" thickBot="1" x14ac:dyDescent="0.35">
      <c r="B35" s="102" t="s">
        <v>304</v>
      </c>
      <c r="C35" s="108" t="s">
        <v>62</v>
      </c>
      <c r="D35" s="104">
        <f>IF(Table1[[#This Row],[2022 Value known?]]="No",6,0)</f>
        <v>6</v>
      </c>
      <c r="E35" s="95">
        <f>25</f>
        <v>25</v>
      </c>
      <c r="F35" s="109" t="s">
        <v>62</v>
      </c>
      <c r="G35" s="97">
        <f>IF(Table1[[#This Row],[2025 Value known?]]="No",6,0)</f>
        <v>6</v>
      </c>
      <c r="H35" s="95">
        <v>25</v>
      </c>
      <c r="I35" s="96" t="s">
        <v>13</v>
      </c>
      <c r="J35" s="152">
        <f t="shared" ref="J35:J64" si="2">0.25*0.9</f>
        <v>0.22500000000000001</v>
      </c>
      <c r="K35" s="151">
        <f t="shared" si="1"/>
        <v>9</v>
      </c>
      <c r="L35" s="46"/>
      <c r="M35" s="46"/>
      <c r="N35" s="75"/>
      <c r="O35" s="75"/>
      <c r="P35" s="75"/>
      <c r="Q35" s="46"/>
      <c r="R35" s="198" t="s">
        <v>586</v>
      </c>
      <c r="S35" s="172">
        <v>0.05</v>
      </c>
      <c r="T35" s="173">
        <v>0.05</v>
      </c>
      <c r="U35" s="173">
        <v>0.05</v>
      </c>
      <c r="V35" s="173">
        <v>0.05</v>
      </c>
      <c r="W35" s="173">
        <v>0.05</v>
      </c>
      <c r="X35" s="174">
        <v>0.05</v>
      </c>
      <c r="Y35" s="172">
        <v>0.05</v>
      </c>
      <c r="Z35" s="173">
        <v>0.05</v>
      </c>
      <c r="AA35" s="173">
        <v>0.05</v>
      </c>
      <c r="AB35" s="173">
        <v>0.05</v>
      </c>
      <c r="AC35" s="173">
        <v>0.05</v>
      </c>
      <c r="AD35" s="174">
        <v>0.05</v>
      </c>
      <c r="AE35" s="193">
        <v>0.62</v>
      </c>
      <c r="AF35" s="173">
        <v>0.62</v>
      </c>
      <c r="AG35" s="173">
        <v>0.62</v>
      </c>
      <c r="AH35" s="173">
        <v>0.62</v>
      </c>
      <c r="AI35" s="173">
        <v>0.62</v>
      </c>
      <c r="AJ35" s="174">
        <v>0.62</v>
      </c>
      <c r="AK35" s="46"/>
      <c r="AL35" s="198" t="s">
        <v>586</v>
      </c>
      <c r="AM35" s="172">
        <v>27.8</v>
      </c>
      <c r="AN35" s="173">
        <v>27.8</v>
      </c>
      <c r="AO35" s="173">
        <v>27.8</v>
      </c>
      <c r="AP35" s="173">
        <v>27.8</v>
      </c>
      <c r="AQ35" s="173">
        <v>27.8</v>
      </c>
      <c r="AR35" s="174">
        <v>27.8</v>
      </c>
      <c r="AS35" s="172">
        <v>27.8</v>
      </c>
      <c r="AT35" s="173">
        <v>27.8</v>
      </c>
      <c r="AU35" s="173">
        <v>27.8</v>
      </c>
      <c r="AV35" s="173">
        <v>27.8</v>
      </c>
      <c r="AW35" s="173">
        <v>27.8</v>
      </c>
      <c r="AX35" s="174">
        <v>27.8</v>
      </c>
      <c r="AY35" s="206">
        <v>26.19</v>
      </c>
      <c r="AZ35" s="187">
        <v>26.19</v>
      </c>
      <c r="BA35" s="187">
        <v>26.19</v>
      </c>
      <c r="BB35" s="187">
        <v>26.19</v>
      </c>
      <c r="BC35" s="187">
        <v>26.19</v>
      </c>
      <c r="BD35" s="188">
        <v>26.19</v>
      </c>
    </row>
    <row r="36" spans="2:56" ht="13.5" thickBot="1" x14ac:dyDescent="0.35">
      <c r="B36" s="102" t="s">
        <v>305</v>
      </c>
      <c r="C36" s="108" t="s">
        <v>62</v>
      </c>
      <c r="D36" s="104">
        <f>IF(Table1[[#This Row],[2022 Value known?]]="No",6,0)</f>
        <v>6</v>
      </c>
      <c r="E36" s="95">
        <f>25</f>
        <v>25</v>
      </c>
      <c r="F36" s="109" t="s">
        <v>62</v>
      </c>
      <c r="G36" s="97">
        <f>IF(Table1[[#This Row],[2025 Value known?]]="No",6,0)</f>
        <v>6</v>
      </c>
      <c r="H36" s="95">
        <v>25</v>
      </c>
      <c r="I36" s="96" t="s">
        <v>13</v>
      </c>
      <c r="J36" s="152">
        <f t="shared" si="2"/>
        <v>0.22500000000000001</v>
      </c>
      <c r="K36" s="151">
        <f t="shared" si="1"/>
        <v>9</v>
      </c>
      <c r="L36" s="46"/>
      <c r="M36" s="46"/>
      <c r="N36" s="75"/>
      <c r="O36" s="75"/>
      <c r="P36" s="75"/>
      <c r="AH36" s="46"/>
      <c r="AI36" s="46"/>
      <c r="AJ36" s="46"/>
      <c r="AK36" s="46"/>
      <c r="AL36" s="46"/>
      <c r="AM36" s="46"/>
      <c r="AN36" s="46"/>
      <c r="AO36" s="46"/>
      <c r="AP36" s="46"/>
      <c r="AQ36" s="46"/>
      <c r="AR36" s="46"/>
    </row>
    <row r="37" spans="2:56" ht="27.5" customHeight="1" x14ac:dyDescent="0.3">
      <c r="B37" s="102" t="s">
        <v>306</v>
      </c>
      <c r="C37" s="108" t="s">
        <v>62</v>
      </c>
      <c r="D37" s="104">
        <f>IF(Table1[[#This Row],[2022 Value known?]]="No",6,0)</f>
        <v>6</v>
      </c>
      <c r="E37" s="95">
        <f>25</f>
        <v>25</v>
      </c>
      <c r="F37" s="109" t="s">
        <v>62</v>
      </c>
      <c r="G37" s="97">
        <f>IF(Table1[[#This Row],[2025 Value known?]]="No",6,0)</f>
        <v>6</v>
      </c>
      <c r="H37" s="95">
        <v>25</v>
      </c>
      <c r="I37" s="96" t="s">
        <v>13</v>
      </c>
      <c r="J37" s="152">
        <f t="shared" si="2"/>
        <v>0.22500000000000001</v>
      </c>
      <c r="K37" s="151">
        <f t="shared" si="1"/>
        <v>9</v>
      </c>
      <c r="L37" s="46"/>
      <c r="M37" s="46"/>
      <c r="N37" s="46"/>
      <c r="O37" s="46"/>
      <c r="P37" s="46"/>
      <c r="Q37" s="16"/>
      <c r="R37" s="87"/>
      <c r="Y37" s="46"/>
      <c r="Z37" s="132" t="s">
        <v>471</v>
      </c>
      <c r="AA37" s="137" t="s">
        <v>472</v>
      </c>
      <c r="AB37" s="137" t="s">
        <v>473</v>
      </c>
      <c r="AC37" s="551" t="s">
        <v>576</v>
      </c>
      <c r="AD37" s="552"/>
      <c r="AE37" s="551" t="s">
        <v>577</v>
      </c>
      <c r="AF37" s="552"/>
      <c r="AG37" s="551" t="s">
        <v>578</v>
      </c>
      <c r="AH37" s="552"/>
      <c r="AI37" s="551" t="s">
        <v>475</v>
      </c>
      <c r="AJ37" s="552"/>
      <c r="AK37" s="551" t="s">
        <v>448</v>
      </c>
      <c r="AL37" s="553"/>
      <c r="AM37" s="46"/>
      <c r="AN37" s="46"/>
      <c r="AO37" s="46"/>
      <c r="AP37" s="46"/>
      <c r="AQ37" s="46"/>
      <c r="AR37" s="46"/>
    </row>
    <row r="38" spans="2:56" ht="13" x14ac:dyDescent="0.3">
      <c r="B38" s="102" t="s">
        <v>307</v>
      </c>
      <c r="C38" s="108" t="s">
        <v>62</v>
      </c>
      <c r="D38" s="104">
        <f>IF(Table1[[#This Row],[2022 Value known?]]="No",6,0)</f>
        <v>6</v>
      </c>
      <c r="E38" s="95">
        <f>25</f>
        <v>25</v>
      </c>
      <c r="F38" s="109" t="s">
        <v>62</v>
      </c>
      <c r="G38" s="97">
        <f>IF(Table1[[#This Row],[2025 Value known?]]="No",6,0)</f>
        <v>6</v>
      </c>
      <c r="H38" s="95">
        <v>25</v>
      </c>
      <c r="I38" s="96" t="s">
        <v>13</v>
      </c>
      <c r="J38" s="152">
        <f t="shared" si="2"/>
        <v>0.22500000000000001</v>
      </c>
      <c r="K38" s="151">
        <f t="shared" si="1"/>
        <v>9</v>
      </c>
      <c r="L38" s="46"/>
      <c r="M38" s="46"/>
      <c r="N38" s="46"/>
      <c r="O38" s="46"/>
      <c r="P38" s="46"/>
      <c r="Q38" s="16"/>
      <c r="R38" s="87"/>
      <c r="Y38" s="46"/>
      <c r="Z38" s="133"/>
      <c r="AA38" s="112"/>
      <c r="AB38" s="112"/>
      <c r="AC38" s="112" t="s">
        <v>436</v>
      </c>
      <c r="AD38" s="112" t="s">
        <v>437</v>
      </c>
      <c r="AE38" s="112" t="s">
        <v>436</v>
      </c>
      <c r="AF38" s="112" t="s">
        <v>437</v>
      </c>
      <c r="AG38" s="112" t="s">
        <v>436</v>
      </c>
      <c r="AH38" s="112" t="s">
        <v>437</v>
      </c>
      <c r="AI38" s="112" t="s">
        <v>436</v>
      </c>
      <c r="AJ38" s="112" t="s">
        <v>437</v>
      </c>
      <c r="AK38" s="112" t="s">
        <v>436</v>
      </c>
      <c r="AL38" s="131" t="s">
        <v>437</v>
      </c>
      <c r="AM38" s="46"/>
      <c r="AN38" s="46"/>
      <c r="AO38" s="46"/>
      <c r="AP38" s="46"/>
      <c r="AQ38" s="46"/>
      <c r="AR38" s="46"/>
    </row>
    <row r="39" spans="2:56" ht="13" x14ac:dyDescent="0.3">
      <c r="B39" s="102" t="s">
        <v>308</v>
      </c>
      <c r="C39" s="108" t="s">
        <v>62</v>
      </c>
      <c r="D39" s="104">
        <f>IF(Table1[[#This Row],[2022 Value known?]]="No",6,0)</f>
        <v>6</v>
      </c>
      <c r="E39" s="95">
        <f>25</f>
        <v>25</v>
      </c>
      <c r="F39" s="109" t="s">
        <v>62</v>
      </c>
      <c r="G39" s="97">
        <f>IF(Table1[[#This Row],[2025 Value known?]]="No",6,0)</f>
        <v>6</v>
      </c>
      <c r="H39" s="95">
        <v>25</v>
      </c>
      <c r="I39" s="96" t="s">
        <v>13</v>
      </c>
      <c r="J39" s="152">
        <f t="shared" si="2"/>
        <v>0.22500000000000001</v>
      </c>
      <c r="K39" s="151">
        <f t="shared" si="1"/>
        <v>9</v>
      </c>
      <c r="L39" s="46"/>
      <c r="M39" s="46"/>
      <c r="N39" s="46"/>
      <c r="O39" s="46"/>
      <c r="P39" s="46"/>
      <c r="Q39" s="16"/>
      <c r="R39" s="87"/>
      <c r="Y39" s="46"/>
      <c r="Z39" s="134" t="s">
        <v>476</v>
      </c>
      <c r="AA39" s="138">
        <v>562.54999999999995</v>
      </c>
      <c r="AB39" s="141">
        <f>(-129.5+(0.424*AA39)-((2.28*0.0001)*(AA39*AA39))-((4.56*0.00000001)*(AA39*AA39*AA39)))</f>
        <v>28.749764706369277</v>
      </c>
      <c r="AC39" s="141">
        <f t="shared" ref="AC39:AC48" si="3">((((0.829*$AB$51)+(0.078*AB39)-20.7)/100)*AA39)*($AC$51*0.01)</f>
        <v>0.74063687402354628</v>
      </c>
      <c r="AD39" s="141">
        <f t="shared" ref="AD39:AD48" si="4">((((0.829*$AB$56)+(0.078*AB39)-20.7)/100)*AA39)*($AC$56*0.01)</f>
        <v>7.8065470051636776</v>
      </c>
      <c r="AE39" s="141">
        <f t="shared" ref="AE39:AE48" si="5">((((0.829*$AB$52)+(0.078*AB39)-20.7)/100)*AA39)*($AC$52*0.01)</f>
        <v>0.30086509917354659</v>
      </c>
      <c r="AF39" s="141">
        <f t="shared" ref="AF39:AF48" si="6">((((0.829*$AB$57)+(0.078*AB39)-20.7)/100)*AA39)*($AC$57*0.01)</f>
        <v>4.7495968629136778</v>
      </c>
      <c r="AG39" s="141">
        <f t="shared" ref="AG39:AG48" si="7">((((0.829*$AB$53)+(0.078*AB39)-20.7)/100)*AA39)*($AC$53*0.01)</f>
        <v>0.14790100357354649</v>
      </c>
      <c r="AH39" s="141">
        <f t="shared" ref="AH39:AH48" si="8">((((0.829*$AB$58)+(0.078*AB39)-20.7)/100)*AA39)*($AC$58*0.01)</f>
        <v>3.6863098569136761</v>
      </c>
      <c r="AI39" s="141">
        <f t="shared" ref="AI39:AI48" si="9">((((0.829*$AB$54)+(0.078*AB39)-20.7)/100)*AA39)*($AC$54*0.01)</f>
        <v>0.86371364551722929</v>
      </c>
      <c r="AJ39" s="141">
        <f t="shared" ref="AJ39:AJ48" si="10">((((0.829*$AB$59)+(0.078*AB39)-20.7)/100)*AA39)*($AC$59*0.01)</f>
        <v>5.510321943687293</v>
      </c>
      <c r="AK39" s="141">
        <f t="shared" ref="AK39:AK48" si="11">((((0.829*$AB$55)+(0.078*AB39)-20.7)/100)*AA39)*($AC$55*0.01)</f>
        <v>-2.7167810873652593E-3</v>
      </c>
      <c r="AL39" s="129">
        <f t="shared" ref="AL39:AL48" si="12">((((0.829*$AB$60)+(0.078*AB39)-20.7)/100)*AA39)*($AC$60*0.01)</f>
        <v>1.546202943696483</v>
      </c>
      <c r="AM39" s="46"/>
      <c r="AN39" s="46"/>
      <c r="AO39" s="46"/>
      <c r="AP39" s="46"/>
      <c r="AQ39" s="46"/>
      <c r="AR39" s="46"/>
    </row>
    <row r="40" spans="2:56" ht="13" x14ac:dyDescent="0.3">
      <c r="B40" s="102" t="s">
        <v>309</v>
      </c>
      <c r="C40" s="108" t="s">
        <v>62</v>
      </c>
      <c r="D40" s="104">
        <f>IF(Table1[[#This Row],[2022 Value known?]]="No",6,0)</f>
        <v>6</v>
      </c>
      <c r="E40" s="95">
        <f>25</f>
        <v>25</v>
      </c>
      <c r="F40" s="109" t="s">
        <v>62</v>
      </c>
      <c r="G40" s="97">
        <f>IF(Table1[[#This Row],[2025 Value known?]]="No",6,0)</f>
        <v>6</v>
      </c>
      <c r="H40" s="95">
        <v>25</v>
      </c>
      <c r="I40" s="96" t="s">
        <v>13</v>
      </c>
      <c r="J40" s="152">
        <f t="shared" si="2"/>
        <v>0.22500000000000001</v>
      </c>
      <c r="K40" s="151">
        <f t="shared" si="1"/>
        <v>9</v>
      </c>
      <c r="L40" s="46"/>
      <c r="M40" s="46"/>
      <c r="N40" s="46"/>
      <c r="O40" s="46"/>
      <c r="P40" s="46"/>
      <c r="Y40" s="46"/>
      <c r="Z40" s="134" t="s">
        <v>477</v>
      </c>
      <c r="AA40" s="138">
        <v>587.54999999999995</v>
      </c>
      <c r="AB40" s="141">
        <f t="shared" ref="AB40:AB45" si="13">(-129.5+(0.424*AA40)-((2.28*0.0001)*(AA40*AA40))-((4.56*0.00000001)*(AA40*AA40*AA40)))</f>
        <v>31.663082422819311</v>
      </c>
      <c r="AC40" s="141">
        <f t="shared" si="3"/>
        <v>0.77902522270993246</v>
      </c>
      <c r="AD40" s="141">
        <f t="shared" si="4"/>
        <v>8.191525343593435</v>
      </c>
      <c r="AE40" s="141">
        <f t="shared" si="5"/>
        <v>0.31970977285993291</v>
      </c>
      <c r="AF40" s="141">
        <f t="shared" si="6"/>
        <v>4.9987228263434362</v>
      </c>
      <c r="AG40" s="141">
        <f t="shared" si="7"/>
        <v>0.15994787725993279</v>
      </c>
      <c r="AH40" s="141">
        <f t="shared" si="8"/>
        <v>3.888182820343435</v>
      </c>
      <c r="AI40" s="141">
        <f t="shared" si="9"/>
        <v>0.90610293114141427</v>
      </c>
      <c r="AJ40" s="141">
        <f t="shared" si="10"/>
        <v>5.775497524183165</v>
      </c>
      <c r="AK40" s="141">
        <f t="shared" si="11"/>
        <v>9.9795037037148497E-5</v>
      </c>
      <c r="AL40" s="129">
        <f t="shared" si="12"/>
        <v>1.6373473431919194</v>
      </c>
      <c r="AM40" s="46"/>
      <c r="AN40" s="46"/>
      <c r="AO40" s="46"/>
      <c r="AP40" s="46"/>
      <c r="AQ40" s="46"/>
      <c r="AR40" s="46"/>
    </row>
    <row r="41" spans="2:56" ht="13" x14ac:dyDescent="0.3">
      <c r="B41" s="102" t="s">
        <v>310</v>
      </c>
      <c r="C41" s="108" t="s">
        <v>62</v>
      </c>
      <c r="D41" s="104">
        <f>IF(Table1[[#This Row],[2022 Value known?]]="No",6,0)</f>
        <v>6</v>
      </c>
      <c r="E41" s="95">
        <f>25</f>
        <v>25</v>
      </c>
      <c r="F41" s="109" t="s">
        <v>62</v>
      </c>
      <c r="G41" s="97">
        <f>IF(Table1[[#This Row],[2025 Value known?]]="No",6,0)</f>
        <v>6</v>
      </c>
      <c r="H41" s="95">
        <v>25</v>
      </c>
      <c r="I41" s="96" t="s">
        <v>13</v>
      </c>
      <c r="J41" s="152">
        <f t="shared" si="2"/>
        <v>0.22500000000000001</v>
      </c>
      <c r="K41" s="151">
        <f t="shared" si="1"/>
        <v>9</v>
      </c>
      <c r="L41" s="46"/>
      <c r="M41" s="46"/>
      <c r="N41" s="46"/>
      <c r="O41" s="46"/>
      <c r="P41" s="46"/>
      <c r="Y41" s="46"/>
      <c r="Z41" s="134" t="s">
        <v>478</v>
      </c>
      <c r="AA41" s="138">
        <v>612.54999999999995</v>
      </c>
      <c r="AB41" s="141">
        <f t="shared" si="13"/>
        <v>34.190929089269275</v>
      </c>
      <c r="AC41" s="141">
        <f t="shared" si="3"/>
        <v>0.81712429820639465</v>
      </c>
      <c r="AD41" s="141">
        <f t="shared" si="4"/>
        <v>8.574492880581035</v>
      </c>
      <c r="AE41" s="141">
        <f t="shared" si="5"/>
        <v>0.33826517335639467</v>
      </c>
      <c r="AF41" s="141">
        <f t="shared" si="6"/>
        <v>5.2458379883310373</v>
      </c>
      <c r="AG41" s="141">
        <f t="shared" si="7"/>
        <v>0.17170547775639469</v>
      </c>
      <c r="AH41" s="141">
        <f t="shared" si="8"/>
        <v>4.088044982331037</v>
      </c>
      <c r="AI41" s="141">
        <f t="shared" si="9"/>
        <v>0.94828055345589835</v>
      </c>
      <c r="AJ41" s="141">
        <f t="shared" si="10"/>
        <v>6.039600677243218</v>
      </c>
      <c r="AK41" s="141">
        <f t="shared" si="11"/>
        <v>2.7611514009923208E-3</v>
      </c>
      <c r="AL41" s="129">
        <f t="shared" si="12"/>
        <v>1.7273064281530324</v>
      </c>
      <c r="AM41" s="46"/>
      <c r="AN41" s="46"/>
      <c r="AO41" s="46"/>
      <c r="AP41" s="46"/>
      <c r="AQ41" s="46"/>
      <c r="AR41" s="46"/>
    </row>
    <row r="42" spans="2:56" ht="13" x14ac:dyDescent="0.3">
      <c r="B42" s="102" t="s">
        <v>311</v>
      </c>
      <c r="C42" s="108" t="s">
        <v>62</v>
      </c>
      <c r="D42" s="104">
        <f>IF(Table1[[#This Row],[2022 Value known?]]="No",6,0)</f>
        <v>6</v>
      </c>
      <c r="E42" s="95">
        <f>25</f>
        <v>25</v>
      </c>
      <c r="F42" s="109" t="s">
        <v>62</v>
      </c>
      <c r="G42" s="97">
        <f>IF(Table1[[#This Row],[2025 Value known?]]="No",6,0)</f>
        <v>6</v>
      </c>
      <c r="H42" s="95">
        <v>25</v>
      </c>
      <c r="I42" s="96" t="s">
        <v>13</v>
      </c>
      <c r="J42" s="152">
        <f t="shared" si="2"/>
        <v>0.22500000000000001</v>
      </c>
      <c r="K42" s="151">
        <f t="shared" si="1"/>
        <v>9</v>
      </c>
      <c r="L42" s="46"/>
      <c r="M42" s="46"/>
      <c r="N42" s="46"/>
      <c r="O42" s="46"/>
      <c r="P42" s="46"/>
      <c r="Y42" s="46"/>
      <c r="Z42" s="134" t="s">
        <v>479</v>
      </c>
      <c r="AA42" s="138">
        <v>637.54999999999995</v>
      </c>
      <c r="AB42" s="141">
        <f t="shared" si="13"/>
        <v>36.329029705719307</v>
      </c>
      <c r="AC42" s="141">
        <f t="shared" si="3"/>
        <v>0.85483292904864216</v>
      </c>
      <c r="AD42" s="141">
        <f t="shared" si="4"/>
        <v>8.9547463510698293</v>
      </c>
      <c r="AE42" s="141">
        <f t="shared" si="5"/>
        <v>0.35643012919864242</v>
      </c>
      <c r="AF42" s="141">
        <f t="shared" si="6"/>
        <v>5.4902390838198327</v>
      </c>
      <c r="AG42" s="141">
        <f t="shared" si="7"/>
        <v>0.18307263359864251</v>
      </c>
      <c r="AH42" s="141">
        <f t="shared" si="8"/>
        <v>4.2851930778198319</v>
      </c>
      <c r="AI42" s="141">
        <f t="shared" si="9"/>
        <v>0.99017248455998208</v>
      </c>
      <c r="AJ42" s="141">
        <f t="shared" si="10"/>
        <v>6.302256328170575</v>
      </c>
      <c r="AK42" s="141">
        <f t="shared" si="11"/>
        <v>5.2130008773204088E-3</v>
      </c>
      <c r="AL42" s="129">
        <f t="shared" si="12"/>
        <v>1.815665642335901</v>
      </c>
      <c r="AM42" s="46"/>
      <c r="AN42" s="46"/>
      <c r="AO42" s="46"/>
      <c r="AP42" s="46"/>
      <c r="AQ42" s="46"/>
      <c r="AR42" s="46"/>
    </row>
    <row r="43" spans="2:56" ht="13" x14ac:dyDescent="0.3">
      <c r="B43" s="102" t="s">
        <v>312</v>
      </c>
      <c r="C43" s="108" t="s">
        <v>62</v>
      </c>
      <c r="D43" s="104">
        <f>IF(Table1[[#This Row],[2022 Value known?]]="No",6,0)</f>
        <v>6</v>
      </c>
      <c r="E43" s="95">
        <f>25</f>
        <v>25</v>
      </c>
      <c r="F43" s="109" t="s">
        <v>62</v>
      </c>
      <c r="G43" s="97">
        <f>IF(Table1[[#This Row],[2025 Value known?]]="No",6,0)</f>
        <v>6</v>
      </c>
      <c r="H43" s="95">
        <v>25</v>
      </c>
      <c r="I43" s="96" t="s">
        <v>13</v>
      </c>
      <c r="J43" s="152">
        <f t="shared" si="2"/>
        <v>0.22500000000000001</v>
      </c>
      <c r="K43" s="151">
        <f t="shared" si="1"/>
        <v>9</v>
      </c>
      <c r="L43" s="46"/>
      <c r="M43" s="46"/>
      <c r="N43" s="46"/>
      <c r="O43" s="46"/>
      <c r="P43" s="46"/>
      <c r="Y43" s="46"/>
      <c r="Z43" s="134" t="s">
        <v>480</v>
      </c>
      <c r="AA43" s="138">
        <v>662.55</v>
      </c>
      <c r="AB43" s="141">
        <f t="shared" si="13"/>
        <v>38.073109272169319</v>
      </c>
      <c r="AC43" s="141">
        <f t="shared" si="3"/>
        <v>0.89204857662738568</v>
      </c>
      <c r="AD43" s="141">
        <f t="shared" si="4"/>
        <v>9.3315729866781698</v>
      </c>
      <c r="AE43" s="141">
        <f t="shared" si="5"/>
        <v>0.37410210177738579</v>
      </c>
      <c r="AF43" s="141">
        <f t="shared" si="6"/>
        <v>5.7312133444281717</v>
      </c>
      <c r="AG43" s="141">
        <f t="shared" si="7"/>
        <v>0.19394680617738583</v>
      </c>
      <c r="AH43" s="141">
        <f t="shared" si="8"/>
        <v>4.4789143384281704</v>
      </c>
      <c r="AI43" s="141">
        <f t="shared" si="9"/>
        <v>1.0317036962029649</v>
      </c>
      <c r="AJ43" s="141">
        <f t="shared" si="10"/>
        <v>6.5630843338283551</v>
      </c>
      <c r="AK43" s="141">
        <f t="shared" si="11"/>
        <v>7.4003227488412269E-3</v>
      </c>
      <c r="AL43" s="129">
        <f t="shared" si="12"/>
        <v>1.9020048275366057</v>
      </c>
      <c r="AM43" s="46"/>
      <c r="AN43" s="46"/>
      <c r="AO43" s="46"/>
      <c r="AP43" s="46"/>
      <c r="AQ43" s="46"/>
      <c r="AR43" s="46"/>
    </row>
    <row r="44" spans="2:56" ht="13" x14ac:dyDescent="0.3">
      <c r="B44" s="102" t="s">
        <v>313</v>
      </c>
      <c r="C44" s="108" t="s">
        <v>62</v>
      </c>
      <c r="D44" s="104">
        <f>IF(Table1[[#This Row],[2022 Value known?]]="No",6,0)</f>
        <v>6</v>
      </c>
      <c r="E44" s="95">
        <f>25</f>
        <v>25</v>
      </c>
      <c r="F44" s="109" t="s">
        <v>62</v>
      </c>
      <c r="G44" s="97">
        <f>IF(Table1[[#This Row],[2025 Value known?]]="No",6,0)</f>
        <v>6</v>
      </c>
      <c r="H44" s="95">
        <v>25</v>
      </c>
      <c r="I44" s="96" t="s">
        <v>13</v>
      </c>
      <c r="J44" s="152">
        <f t="shared" si="2"/>
        <v>0.22500000000000001</v>
      </c>
      <c r="K44" s="151">
        <f t="shared" si="1"/>
        <v>9</v>
      </c>
      <c r="L44" s="46"/>
      <c r="M44" s="46"/>
      <c r="N44" s="46"/>
      <c r="O44" s="46"/>
      <c r="P44" s="46"/>
      <c r="Y44" s="46"/>
      <c r="Z44" s="135" t="s">
        <v>481</v>
      </c>
      <c r="AA44" s="139">
        <v>687.55</v>
      </c>
      <c r="AB44" s="142">
        <f t="shared" si="13"/>
        <v>39.418892788619281</v>
      </c>
      <c r="AC44" s="141">
        <f t="shared" si="3"/>
        <v>0.92866733518833489</v>
      </c>
      <c r="AD44" s="141">
        <f t="shared" si="4"/>
        <v>9.7042505156994014</v>
      </c>
      <c r="AE44" s="141">
        <f t="shared" si="5"/>
        <v>0.39117718533833484</v>
      </c>
      <c r="AF44" s="141">
        <f t="shared" si="6"/>
        <v>5.9680384984494017</v>
      </c>
      <c r="AG44" s="141">
        <f t="shared" si="7"/>
        <v>0.20422408973833489</v>
      </c>
      <c r="AH44" s="141">
        <f t="shared" si="8"/>
        <v>4.6684864924494009</v>
      </c>
      <c r="AI44" s="141">
        <f t="shared" si="9"/>
        <v>1.0727981597841474</v>
      </c>
      <c r="AJ44" s="141">
        <f t="shared" si="10"/>
        <v>6.8216994826396791</v>
      </c>
      <c r="AK44" s="141">
        <f t="shared" si="11"/>
        <v>9.2673627083748791E-3</v>
      </c>
      <c r="AL44" s="129">
        <f t="shared" si="12"/>
        <v>1.9858982235912259</v>
      </c>
      <c r="AM44" s="46"/>
      <c r="AN44" s="46"/>
      <c r="AO44" s="46"/>
      <c r="AP44" s="46"/>
      <c r="AQ44" s="46"/>
      <c r="AR44" s="46"/>
    </row>
    <row r="45" spans="2:56" ht="13" x14ac:dyDescent="0.3">
      <c r="B45" s="102" t="s">
        <v>314</v>
      </c>
      <c r="C45" s="108" t="s">
        <v>62</v>
      </c>
      <c r="D45" s="104">
        <f>IF(Table1[[#This Row],[2022 Value known?]]="No",6,0)</f>
        <v>6</v>
      </c>
      <c r="E45" s="95">
        <f>25</f>
        <v>25</v>
      </c>
      <c r="F45" s="109" t="s">
        <v>62</v>
      </c>
      <c r="G45" s="97">
        <f>IF(Table1[[#This Row],[2025 Value known?]]="No",6,0)</f>
        <v>6</v>
      </c>
      <c r="H45" s="95">
        <v>25</v>
      </c>
      <c r="I45" s="96" t="s">
        <v>13</v>
      </c>
      <c r="J45" s="152">
        <f t="shared" si="2"/>
        <v>0.22500000000000001</v>
      </c>
      <c r="K45" s="151">
        <f t="shared" si="1"/>
        <v>9</v>
      </c>
      <c r="L45" s="46"/>
      <c r="M45" s="46"/>
      <c r="N45" s="46"/>
      <c r="O45" s="46"/>
      <c r="P45" s="46"/>
      <c r="Y45" s="46"/>
      <c r="Z45" s="134" t="s">
        <v>482</v>
      </c>
      <c r="AA45" s="138">
        <v>725.05</v>
      </c>
      <c r="AB45" s="141">
        <f t="shared" si="13"/>
        <v>40.68141140704433</v>
      </c>
      <c r="AC45" s="141">
        <f t="shared" si="3"/>
        <v>0.9822456478254864</v>
      </c>
      <c r="AD45" s="141">
        <f t="shared" si="4"/>
        <v>10.253883877933259</v>
      </c>
      <c r="AE45" s="141">
        <f t="shared" si="5"/>
        <v>0.41543998547548655</v>
      </c>
      <c r="AF45" s="141">
        <f t="shared" si="6"/>
        <v>6.3138932981832596</v>
      </c>
      <c r="AG45" s="141">
        <f t="shared" si="7"/>
        <v>0.2182901898754866</v>
      </c>
      <c r="AH45" s="141">
        <f t="shared" si="8"/>
        <v>4.9434617921832587</v>
      </c>
      <c r="AI45" s="141">
        <f t="shared" si="9"/>
        <v>1.1334521781771849</v>
      </c>
      <c r="AJ45" s="141">
        <f t="shared" si="10"/>
        <v>7.2046179758310709</v>
      </c>
      <c r="AK45" s="141">
        <f t="shared" si="11"/>
        <v>1.1343626196602601E-2</v>
      </c>
      <c r="AL45" s="129">
        <f t="shared" si="12"/>
        <v>2.1062073265922372</v>
      </c>
      <c r="AM45" s="46"/>
      <c r="AN45" s="46"/>
      <c r="AO45" s="46"/>
      <c r="AP45" s="46"/>
      <c r="AQ45" s="46"/>
      <c r="AR45" s="46"/>
    </row>
    <row r="46" spans="2:56" ht="13" x14ac:dyDescent="0.3">
      <c r="B46" s="102" t="s">
        <v>315</v>
      </c>
      <c r="C46" s="108" t="s">
        <v>62</v>
      </c>
      <c r="D46" s="104">
        <f>IF(Table1[[#This Row],[2022 Value known?]]="No",6,0)</f>
        <v>6</v>
      </c>
      <c r="E46" s="95">
        <f>25</f>
        <v>25</v>
      </c>
      <c r="F46" s="109" t="s">
        <v>62</v>
      </c>
      <c r="G46" s="97">
        <f>IF(Table1[[#This Row],[2025 Value known?]]="No",6,0)</f>
        <v>6</v>
      </c>
      <c r="H46" s="95">
        <v>25</v>
      </c>
      <c r="I46" s="96" t="s">
        <v>13</v>
      </c>
      <c r="J46" s="152">
        <f t="shared" si="2"/>
        <v>0.22500000000000001</v>
      </c>
      <c r="K46" s="151">
        <f t="shared" si="1"/>
        <v>9</v>
      </c>
      <c r="L46" s="46"/>
      <c r="M46" s="46"/>
      <c r="N46" s="46"/>
      <c r="O46" s="46"/>
      <c r="P46" s="46"/>
      <c r="Y46" s="46"/>
      <c r="Z46" s="134" t="s">
        <v>483</v>
      </c>
      <c r="AA46" s="138">
        <v>775.05</v>
      </c>
      <c r="AB46" s="141">
        <v>41</v>
      </c>
      <c r="AC46" s="141">
        <f t="shared" si="3"/>
        <v>1.0507717123499996</v>
      </c>
      <c r="AD46" s="141">
        <f t="shared" si="4"/>
        <v>10.966488594749999</v>
      </c>
      <c r="AE46" s="141">
        <f t="shared" si="5"/>
        <v>0.44487869999999979</v>
      </c>
      <c r="AF46" s="141">
        <f t="shared" si="6"/>
        <v>6.754793265</v>
      </c>
      <c r="AG46" s="141">
        <f t="shared" si="7"/>
        <v>0.23413330439999991</v>
      </c>
      <c r="AH46" s="141">
        <f t="shared" si="8"/>
        <v>5.289855758999999</v>
      </c>
      <c r="AI46" s="141">
        <f t="shared" si="9"/>
        <v>1.2121937009999997</v>
      </c>
      <c r="AJ46" s="141">
        <f t="shared" si="10"/>
        <v>7.7043814247999967</v>
      </c>
      <c r="AK46" s="141">
        <f t="shared" si="11"/>
        <v>1.254960960000001E-2</v>
      </c>
      <c r="AL46" s="129">
        <f t="shared" si="12"/>
        <v>2.2546886543999993</v>
      </c>
      <c r="AM46" s="46"/>
      <c r="AN46" s="46"/>
      <c r="AO46" s="46"/>
      <c r="AP46" s="46"/>
      <c r="AQ46" s="46"/>
      <c r="AR46" s="46"/>
    </row>
    <row r="47" spans="2:56" ht="13" x14ac:dyDescent="0.3">
      <c r="B47" s="102" t="s">
        <v>316</v>
      </c>
      <c r="C47" s="108" t="s">
        <v>62</v>
      </c>
      <c r="D47" s="104">
        <f>IF(Table1[[#This Row],[2022 Value known?]]="No",6,0)</f>
        <v>6</v>
      </c>
      <c r="E47" s="95">
        <f>25</f>
        <v>25</v>
      </c>
      <c r="F47" s="109" t="s">
        <v>62</v>
      </c>
      <c r="G47" s="97">
        <f>IF(Table1[[#This Row],[2025 Value known?]]="No",6,0)</f>
        <v>6</v>
      </c>
      <c r="H47" s="95">
        <v>25</v>
      </c>
      <c r="I47" s="96" t="s">
        <v>13</v>
      </c>
      <c r="J47" s="152">
        <f t="shared" si="2"/>
        <v>0.22500000000000001</v>
      </c>
      <c r="K47" s="151">
        <f t="shared" si="1"/>
        <v>9</v>
      </c>
      <c r="L47" s="46"/>
      <c r="M47" s="46"/>
      <c r="N47" s="46"/>
      <c r="O47" s="46"/>
      <c r="P47" s="46"/>
      <c r="Y47" s="46"/>
      <c r="Z47" s="134" t="s">
        <v>484</v>
      </c>
      <c r="AA47" s="138">
        <v>825.05</v>
      </c>
      <c r="AB47" s="141">
        <v>41</v>
      </c>
      <c r="AC47" s="141">
        <f t="shared" si="3"/>
        <v>1.1185590623499995</v>
      </c>
      <c r="AD47" s="141">
        <f t="shared" si="4"/>
        <v>11.673958344749996</v>
      </c>
      <c r="AE47" s="141">
        <f t="shared" si="5"/>
        <v>0.4735786999999998</v>
      </c>
      <c r="AF47" s="141">
        <f t="shared" si="6"/>
        <v>7.1905582649999999</v>
      </c>
      <c r="AG47" s="141">
        <f t="shared" si="7"/>
        <v>0.2492377043999999</v>
      </c>
      <c r="AH47" s="141">
        <f t="shared" si="8"/>
        <v>5.6311147589999999</v>
      </c>
      <c r="AI47" s="141">
        <f t="shared" si="9"/>
        <v>1.2903947009999996</v>
      </c>
      <c r="AJ47" s="141">
        <f t="shared" si="10"/>
        <v>8.2014062247999959</v>
      </c>
      <c r="AK47" s="141">
        <f t="shared" si="11"/>
        <v>1.335920960000001E-2</v>
      </c>
      <c r="AL47" s="129">
        <f t="shared" si="12"/>
        <v>2.4001430543999995</v>
      </c>
      <c r="AM47" s="46"/>
      <c r="AN47" s="46"/>
      <c r="AO47" s="46"/>
      <c r="AP47" s="46"/>
      <c r="AQ47" s="46"/>
      <c r="AR47" s="46"/>
    </row>
    <row r="48" spans="2:56" ht="13.5" thickBot="1" x14ac:dyDescent="0.35">
      <c r="B48" s="102" t="s">
        <v>317</v>
      </c>
      <c r="C48" s="108" t="s">
        <v>62</v>
      </c>
      <c r="D48" s="104">
        <f>IF(Table1[[#This Row],[2022 Value known?]]="No",6,0)</f>
        <v>6</v>
      </c>
      <c r="E48" s="95">
        <f>25</f>
        <v>25</v>
      </c>
      <c r="F48" s="109" t="s">
        <v>62</v>
      </c>
      <c r="G48" s="97">
        <f>IF(Table1[[#This Row],[2025 Value known?]]="No",6,0)</f>
        <v>6</v>
      </c>
      <c r="H48" s="95">
        <v>25</v>
      </c>
      <c r="I48" s="96" t="s">
        <v>13</v>
      </c>
      <c r="J48" s="152">
        <f t="shared" si="2"/>
        <v>0.22500000000000001</v>
      </c>
      <c r="K48" s="151">
        <f t="shared" si="1"/>
        <v>9</v>
      </c>
      <c r="L48" s="46"/>
      <c r="M48" s="46"/>
      <c r="N48" s="46"/>
      <c r="O48" s="46"/>
      <c r="P48" s="46"/>
      <c r="Y48" s="46"/>
      <c r="Z48" s="136" t="s">
        <v>485</v>
      </c>
      <c r="AA48" s="140">
        <v>875.05</v>
      </c>
      <c r="AB48" s="143">
        <v>41</v>
      </c>
      <c r="AC48" s="143">
        <f t="shared" si="3"/>
        <v>1.1863464123499996</v>
      </c>
      <c r="AD48" s="143">
        <f t="shared" si="4"/>
        <v>12.381428094749998</v>
      </c>
      <c r="AE48" s="143">
        <f t="shared" si="5"/>
        <v>0.50227869999999974</v>
      </c>
      <c r="AF48" s="143">
        <f t="shared" si="6"/>
        <v>7.6263232649999999</v>
      </c>
      <c r="AG48" s="143">
        <f t="shared" si="7"/>
        <v>0.26434210439999989</v>
      </c>
      <c r="AH48" s="143">
        <f t="shared" si="8"/>
        <v>5.972373758999999</v>
      </c>
      <c r="AI48" s="143">
        <f t="shared" si="9"/>
        <v>1.3685957009999998</v>
      </c>
      <c r="AJ48" s="143">
        <f t="shared" si="10"/>
        <v>8.6984310247999979</v>
      </c>
      <c r="AK48" s="143">
        <f t="shared" si="11"/>
        <v>1.4168809600000011E-2</v>
      </c>
      <c r="AL48" s="130">
        <f t="shared" si="12"/>
        <v>2.5455974543999997</v>
      </c>
      <c r="AM48" s="46"/>
      <c r="AN48" s="46"/>
      <c r="AO48" s="46"/>
      <c r="AP48" s="46"/>
      <c r="AQ48" s="46"/>
      <c r="AR48" s="46"/>
    </row>
    <row r="49" spans="2:44" ht="13.5" thickBot="1" x14ac:dyDescent="0.35">
      <c r="B49" s="102" t="s">
        <v>318</v>
      </c>
      <c r="C49" s="108" t="s">
        <v>62</v>
      </c>
      <c r="D49" s="104">
        <f>IF(Table1[[#This Row],[2022 Value known?]]="No",6,0)</f>
        <v>6</v>
      </c>
      <c r="E49" s="95">
        <f>25</f>
        <v>25</v>
      </c>
      <c r="F49" s="109" t="s">
        <v>62</v>
      </c>
      <c r="G49" s="97">
        <f>IF(Table1[[#This Row],[2025 Value known?]]="No",6,0)</f>
        <v>6</v>
      </c>
      <c r="H49" s="95">
        <v>25</v>
      </c>
      <c r="I49" s="96" t="s">
        <v>13</v>
      </c>
      <c r="J49" s="152">
        <f t="shared" si="2"/>
        <v>0.22500000000000001</v>
      </c>
      <c r="K49" s="151">
        <f t="shared" si="1"/>
        <v>9</v>
      </c>
      <c r="L49" s="46"/>
      <c r="M49" s="46"/>
      <c r="N49" s="46"/>
      <c r="O49" s="46"/>
      <c r="P49" s="46"/>
      <c r="Y49" s="46"/>
      <c r="Z49" s="46"/>
      <c r="AA49" s="46"/>
      <c r="AB49" s="46"/>
      <c r="AC49" s="46"/>
      <c r="AD49" s="46"/>
      <c r="AE49" s="46"/>
      <c r="AF49" s="46"/>
      <c r="AG49" s="46"/>
      <c r="AH49" s="46"/>
      <c r="AI49" s="46"/>
      <c r="AJ49" s="46"/>
      <c r="AK49" s="46"/>
      <c r="AL49" s="46"/>
      <c r="AM49" s="46"/>
      <c r="AN49" s="46"/>
      <c r="AO49" s="46"/>
      <c r="AP49" s="46"/>
      <c r="AQ49" s="46"/>
      <c r="AR49" s="46"/>
    </row>
    <row r="50" spans="2:44" ht="26" x14ac:dyDescent="0.3">
      <c r="B50" s="102" t="s">
        <v>319</v>
      </c>
      <c r="C50" s="108" t="s">
        <v>13</v>
      </c>
      <c r="D50" s="104">
        <v>0.74</v>
      </c>
      <c r="E50" s="95">
        <f>25</f>
        <v>25</v>
      </c>
      <c r="F50" s="109" t="s">
        <v>13</v>
      </c>
      <c r="G50" s="97">
        <f>Table1[[#This Row],[2022 TP Discharge level (mg/l)]]</f>
        <v>0.74</v>
      </c>
      <c r="H50" s="95">
        <v>25</v>
      </c>
      <c r="I50" s="96" t="s">
        <v>13</v>
      </c>
      <c r="J50" s="152">
        <f t="shared" si="2"/>
        <v>0.22500000000000001</v>
      </c>
      <c r="K50" s="151">
        <f t="shared" si="1"/>
        <v>9</v>
      </c>
      <c r="L50" s="46"/>
      <c r="M50" s="46"/>
      <c r="N50" s="46"/>
      <c r="O50" s="46"/>
      <c r="P50" s="46"/>
      <c r="Z50" s="146"/>
      <c r="AA50" s="147" t="s">
        <v>486</v>
      </c>
      <c r="AB50" s="147" t="s">
        <v>488</v>
      </c>
      <c r="AC50" s="148" t="s">
        <v>487</v>
      </c>
      <c r="AD50" s="46"/>
      <c r="AE50" s="46"/>
      <c r="AF50" s="46"/>
      <c r="AG50" s="46"/>
      <c r="AH50" s="46"/>
      <c r="AI50" s="46"/>
      <c r="AJ50" s="46"/>
      <c r="AK50" s="46"/>
      <c r="AL50" s="46"/>
      <c r="AM50" s="46"/>
      <c r="AN50" s="46"/>
      <c r="AO50" s="46"/>
      <c r="AP50" s="46"/>
      <c r="AQ50" s="46"/>
      <c r="AR50" s="46"/>
    </row>
    <row r="51" spans="2:44" ht="13" x14ac:dyDescent="0.3">
      <c r="B51" s="102" t="s">
        <v>320</v>
      </c>
      <c r="C51" s="108" t="s">
        <v>62</v>
      </c>
      <c r="D51" s="104">
        <f>IF(Table1[[#This Row],[2022 Value known?]]="No",6,0)</f>
        <v>6</v>
      </c>
      <c r="E51" s="95">
        <f>25</f>
        <v>25</v>
      </c>
      <c r="F51" s="109" t="s">
        <v>62</v>
      </c>
      <c r="G51" s="97">
        <f>IF(Table1[[#This Row],[2025 Value known?]]="No",6,0)</f>
        <v>6</v>
      </c>
      <c r="H51" s="95">
        <v>25</v>
      </c>
      <c r="I51" s="96" t="s">
        <v>13</v>
      </c>
      <c r="J51" s="152">
        <f t="shared" si="2"/>
        <v>0.22500000000000001</v>
      </c>
      <c r="K51" s="151">
        <f t="shared" si="1"/>
        <v>9</v>
      </c>
      <c r="L51" s="46"/>
      <c r="M51" s="46"/>
      <c r="N51" s="46"/>
      <c r="O51" s="46"/>
      <c r="P51" s="46"/>
      <c r="Z51" s="134" t="s">
        <v>436</v>
      </c>
      <c r="AA51" s="138" t="s">
        <v>576</v>
      </c>
      <c r="AB51" s="138">
        <f>51+10</f>
        <v>61</v>
      </c>
      <c r="AC51" s="144">
        <v>0.41</v>
      </c>
      <c r="AD51" s="46"/>
      <c r="AE51" s="46"/>
      <c r="AF51" s="46"/>
      <c r="AG51" s="46"/>
      <c r="AH51" s="46"/>
      <c r="AI51" s="46"/>
      <c r="AJ51" s="46"/>
      <c r="AK51" s="46"/>
      <c r="AL51" s="46"/>
      <c r="AM51" s="46"/>
      <c r="AN51" s="46"/>
      <c r="AO51" s="46"/>
      <c r="AP51" s="46"/>
      <c r="AQ51" s="46"/>
      <c r="AR51" s="46"/>
    </row>
    <row r="52" spans="2:44" ht="13" x14ac:dyDescent="0.3">
      <c r="B52" s="102" t="s">
        <v>321</v>
      </c>
      <c r="C52" s="108" t="s">
        <v>13</v>
      </c>
      <c r="D52" s="104">
        <v>0.62</v>
      </c>
      <c r="E52" s="95">
        <f>25</f>
        <v>25</v>
      </c>
      <c r="F52" s="109" t="s">
        <v>13</v>
      </c>
      <c r="G52" s="97">
        <f>Table1[[#This Row],[2022 TP Discharge level (mg/l)]]</f>
        <v>0.62</v>
      </c>
      <c r="H52" s="95">
        <v>25</v>
      </c>
      <c r="I52" s="96" t="s">
        <v>13</v>
      </c>
      <c r="J52" s="152">
        <f t="shared" si="2"/>
        <v>0.22500000000000001</v>
      </c>
      <c r="K52" s="151">
        <f t="shared" si="1"/>
        <v>9</v>
      </c>
      <c r="L52" s="46"/>
      <c r="M52" s="46"/>
      <c r="N52" s="46"/>
      <c r="O52" s="46"/>
      <c r="P52" s="46"/>
      <c r="Z52" s="134" t="s">
        <v>436</v>
      </c>
      <c r="AA52" s="138" t="s">
        <v>577</v>
      </c>
      <c r="AB52" s="138">
        <f>28+10</f>
        <v>38</v>
      </c>
      <c r="AC52" s="144">
        <v>0.41</v>
      </c>
      <c r="AD52" s="46"/>
      <c r="AE52" s="46"/>
      <c r="AF52" s="46"/>
      <c r="AG52" s="46"/>
      <c r="AH52" s="46"/>
      <c r="AI52" s="46"/>
      <c r="AJ52" s="46"/>
      <c r="AK52" s="46"/>
      <c r="AL52" s="46"/>
      <c r="AM52" s="46"/>
      <c r="AN52" s="46"/>
      <c r="AO52" s="46"/>
      <c r="AP52" s="46"/>
      <c r="AQ52" s="46"/>
      <c r="AR52" s="46"/>
    </row>
    <row r="53" spans="2:44" ht="13" x14ac:dyDescent="0.3">
      <c r="B53" s="102" t="s">
        <v>322</v>
      </c>
      <c r="C53" s="108" t="s">
        <v>62</v>
      </c>
      <c r="D53" s="104">
        <f>IF(Table1[[#This Row],[2022 Value known?]]="No",6,0)</f>
        <v>6</v>
      </c>
      <c r="E53" s="95">
        <f>25</f>
        <v>25</v>
      </c>
      <c r="F53" s="109" t="s">
        <v>62</v>
      </c>
      <c r="G53" s="97">
        <f>IF(Table1[[#This Row],[2025 Value known?]]="No",6,0)</f>
        <v>6</v>
      </c>
      <c r="H53" s="95">
        <v>25</v>
      </c>
      <c r="I53" s="96" t="s">
        <v>13</v>
      </c>
      <c r="J53" s="152">
        <f t="shared" si="2"/>
        <v>0.22500000000000001</v>
      </c>
      <c r="K53" s="151">
        <f t="shared" si="1"/>
        <v>9</v>
      </c>
      <c r="L53" s="46"/>
      <c r="M53" s="46"/>
      <c r="N53" s="46"/>
      <c r="O53" s="46"/>
      <c r="P53" s="46"/>
      <c r="Z53" s="134" t="s">
        <v>436</v>
      </c>
      <c r="AA53" s="138" t="s">
        <v>578</v>
      </c>
      <c r="AB53" s="138">
        <f>20+10</f>
        <v>30</v>
      </c>
      <c r="AC53" s="144">
        <v>0.41</v>
      </c>
      <c r="AD53" s="46"/>
      <c r="AE53" s="46"/>
      <c r="AF53" s="46"/>
      <c r="AG53" s="46"/>
      <c r="AH53" s="46"/>
      <c r="AI53" s="46"/>
      <c r="AJ53" s="46"/>
      <c r="AK53" s="46"/>
      <c r="AL53" s="46"/>
      <c r="AM53" s="46"/>
      <c r="AN53" s="46"/>
      <c r="AO53" s="46"/>
      <c r="AP53" s="46"/>
      <c r="AQ53" s="46"/>
      <c r="AR53" s="46"/>
    </row>
    <row r="54" spans="2:44" ht="13" x14ac:dyDescent="0.3">
      <c r="B54" s="102" t="s">
        <v>323</v>
      </c>
      <c r="C54" s="108" t="s">
        <v>13</v>
      </c>
      <c r="D54" s="155">
        <f>2*0.9</f>
        <v>1.8</v>
      </c>
      <c r="E54" s="95">
        <f>25</f>
        <v>25</v>
      </c>
      <c r="F54" s="109" t="s">
        <v>13</v>
      </c>
      <c r="G54" s="158">
        <f>Table1[[#This Row],[2022 TP Discharge level (mg/l)]]</f>
        <v>1.8</v>
      </c>
      <c r="H54" s="95">
        <v>25</v>
      </c>
      <c r="I54" s="96" t="s">
        <v>13</v>
      </c>
      <c r="J54" s="152">
        <f t="shared" si="2"/>
        <v>0.22500000000000001</v>
      </c>
      <c r="K54" s="151">
        <f t="shared" si="1"/>
        <v>9</v>
      </c>
      <c r="L54" s="46"/>
      <c r="M54" s="46"/>
      <c r="N54" s="46"/>
      <c r="O54" s="46"/>
      <c r="P54" s="46"/>
      <c r="Z54" s="134" t="s">
        <v>436</v>
      </c>
      <c r="AA54" s="138" t="s">
        <v>475</v>
      </c>
      <c r="AB54" s="138">
        <f>74+10</f>
        <v>84</v>
      </c>
      <c r="AC54" s="144">
        <v>0.3</v>
      </c>
      <c r="AD54" s="46"/>
      <c r="AE54" s="46"/>
      <c r="AF54" s="46"/>
      <c r="AG54" s="46"/>
      <c r="AH54" s="46"/>
      <c r="AI54" s="46"/>
      <c r="AJ54" s="46"/>
      <c r="AK54" s="46"/>
      <c r="AL54" s="46"/>
      <c r="AM54" s="46"/>
      <c r="AN54" s="46"/>
      <c r="AO54" s="46"/>
      <c r="AP54" s="46"/>
      <c r="AQ54" s="46"/>
      <c r="AR54" s="46"/>
    </row>
    <row r="55" spans="2:44" ht="13" x14ac:dyDescent="0.3">
      <c r="B55" s="102" t="s">
        <v>324</v>
      </c>
      <c r="C55" s="108" t="s">
        <v>13</v>
      </c>
      <c r="D55" s="104">
        <v>0.83</v>
      </c>
      <c r="E55" s="95">
        <f>25</f>
        <v>25</v>
      </c>
      <c r="F55" s="109" t="s">
        <v>13</v>
      </c>
      <c r="G55" s="97">
        <v>0.83</v>
      </c>
      <c r="H55" s="95">
        <v>25</v>
      </c>
      <c r="I55" s="96" t="s">
        <v>13</v>
      </c>
      <c r="J55" s="152">
        <f t="shared" si="2"/>
        <v>0.22500000000000001</v>
      </c>
      <c r="K55" s="151">
        <f t="shared" si="1"/>
        <v>9</v>
      </c>
      <c r="L55" s="46"/>
      <c r="M55" s="46"/>
      <c r="N55" s="46"/>
      <c r="O55" s="46"/>
      <c r="P55" s="46"/>
      <c r="Z55" s="134" t="s">
        <v>436</v>
      </c>
      <c r="AA55" s="138" t="s">
        <v>448</v>
      </c>
      <c r="AB55" s="138">
        <f>12+10</f>
        <v>22</v>
      </c>
      <c r="AC55" s="144">
        <v>0.22</v>
      </c>
      <c r="AD55" s="46"/>
      <c r="AE55" s="46"/>
      <c r="AF55" s="46"/>
      <c r="AG55" s="46"/>
      <c r="AH55" s="46"/>
      <c r="AI55" s="46"/>
      <c r="AJ55" s="46"/>
      <c r="AK55" s="46"/>
      <c r="AL55" s="46"/>
      <c r="AM55" s="46"/>
      <c r="AN55" s="46"/>
      <c r="AO55" s="46"/>
      <c r="AP55" s="46"/>
      <c r="AQ55" s="46"/>
      <c r="AR55" s="46"/>
    </row>
    <row r="56" spans="2:44" ht="13" x14ac:dyDescent="0.3">
      <c r="B56" s="102" t="s">
        <v>325</v>
      </c>
      <c r="C56" s="108" t="s">
        <v>62</v>
      </c>
      <c r="D56" s="104">
        <f>IF(Table1[[#This Row],[2022 Value known?]]="No",6,0)</f>
        <v>6</v>
      </c>
      <c r="E56" s="95">
        <f>25</f>
        <v>25</v>
      </c>
      <c r="F56" s="109" t="s">
        <v>62</v>
      </c>
      <c r="G56" s="97">
        <f>IF(Table1[[#This Row],[2025 Value known?]]="No",6,0)</f>
        <v>6</v>
      </c>
      <c r="H56" s="95">
        <v>25</v>
      </c>
      <c r="I56" s="96" t="s">
        <v>13</v>
      </c>
      <c r="J56" s="152">
        <f t="shared" si="2"/>
        <v>0.22500000000000001</v>
      </c>
      <c r="K56" s="151">
        <f t="shared" si="1"/>
        <v>9</v>
      </c>
      <c r="L56" s="46"/>
      <c r="M56" s="46"/>
      <c r="N56" s="46"/>
      <c r="O56" s="46"/>
      <c r="P56" s="46"/>
      <c r="Z56" s="134" t="s">
        <v>437</v>
      </c>
      <c r="AA56" s="138" t="s">
        <v>474</v>
      </c>
      <c r="AB56" s="138">
        <f>AB51+20</f>
        <v>81</v>
      </c>
      <c r="AC56" s="144">
        <v>2.85</v>
      </c>
      <c r="AD56" s="46"/>
      <c r="AE56" s="46"/>
      <c r="AF56" s="46"/>
      <c r="AG56" s="46"/>
      <c r="AH56" s="46"/>
      <c r="AI56" s="46"/>
      <c r="AJ56" s="46"/>
      <c r="AK56" s="46"/>
      <c r="AL56" s="46"/>
      <c r="AM56" s="46"/>
      <c r="AN56" s="46"/>
      <c r="AO56" s="46"/>
      <c r="AP56" s="46"/>
      <c r="AQ56" s="46"/>
      <c r="AR56" s="46"/>
    </row>
    <row r="57" spans="2:44" ht="13" x14ac:dyDescent="0.3">
      <c r="B57" s="102" t="s">
        <v>326</v>
      </c>
      <c r="C57" s="108" t="s">
        <v>13</v>
      </c>
      <c r="D57" s="104">
        <v>1.34</v>
      </c>
      <c r="E57" s="95">
        <f>25</f>
        <v>25</v>
      </c>
      <c r="F57" s="109" t="s">
        <v>13</v>
      </c>
      <c r="G57" s="97">
        <v>1.34</v>
      </c>
      <c r="H57" s="95">
        <v>25</v>
      </c>
      <c r="I57" s="96" t="s">
        <v>13</v>
      </c>
      <c r="J57" s="152">
        <f t="shared" si="2"/>
        <v>0.22500000000000001</v>
      </c>
      <c r="K57" s="151">
        <f t="shared" si="1"/>
        <v>9</v>
      </c>
      <c r="L57" s="46"/>
      <c r="M57" s="46"/>
      <c r="N57" s="46"/>
      <c r="O57" s="46"/>
      <c r="P57" s="46"/>
      <c r="Z57" s="134" t="s">
        <v>437</v>
      </c>
      <c r="AA57" s="138" t="s">
        <v>577</v>
      </c>
      <c r="AB57" s="138">
        <f t="shared" ref="AB57:AB60" si="14">AB52+20</f>
        <v>58</v>
      </c>
      <c r="AC57" s="144">
        <v>2.85</v>
      </c>
      <c r="AD57" s="46"/>
      <c r="AE57" s="46"/>
      <c r="AF57" s="46"/>
      <c r="AG57" s="46"/>
      <c r="AH57" s="46"/>
      <c r="AI57" s="46"/>
      <c r="AJ57" s="46"/>
      <c r="AK57" s="46"/>
      <c r="AL57" s="46"/>
      <c r="AM57" s="46"/>
      <c r="AN57" s="46"/>
      <c r="AO57" s="46"/>
      <c r="AP57" s="46"/>
      <c r="AQ57" s="46"/>
      <c r="AR57" s="46"/>
    </row>
    <row r="58" spans="2:44" ht="13" x14ac:dyDescent="0.3">
      <c r="B58" s="102" t="s">
        <v>327</v>
      </c>
      <c r="C58" s="108" t="s">
        <v>62</v>
      </c>
      <c r="D58" s="104">
        <f>IF(Table1[[#This Row],[2022 Value known?]]="No",6,0)</f>
        <v>6</v>
      </c>
      <c r="E58" s="95">
        <f>25</f>
        <v>25</v>
      </c>
      <c r="F58" s="109" t="s">
        <v>62</v>
      </c>
      <c r="G58" s="97">
        <f>IF(Table1[[#This Row],[2025 Value known?]]="No",6,0)</f>
        <v>6</v>
      </c>
      <c r="H58" s="95">
        <v>25</v>
      </c>
      <c r="I58" s="96" t="s">
        <v>13</v>
      </c>
      <c r="J58" s="152">
        <f t="shared" si="2"/>
        <v>0.22500000000000001</v>
      </c>
      <c r="K58" s="151">
        <f t="shared" si="1"/>
        <v>9</v>
      </c>
      <c r="L58" s="46"/>
      <c r="M58" s="46"/>
      <c r="N58" s="46"/>
      <c r="O58" s="46"/>
      <c r="P58" s="46"/>
      <c r="Z58" s="134" t="s">
        <v>437</v>
      </c>
      <c r="AA58" s="138" t="s">
        <v>578</v>
      </c>
      <c r="AB58" s="138">
        <f t="shared" si="14"/>
        <v>50</v>
      </c>
      <c r="AC58" s="144">
        <v>2.85</v>
      </c>
      <c r="AD58" s="46"/>
      <c r="AE58" s="46"/>
      <c r="AF58" s="46"/>
      <c r="AG58" s="46"/>
      <c r="AH58" s="46"/>
      <c r="AI58" s="46"/>
      <c r="AJ58" s="46"/>
      <c r="AK58" s="46"/>
      <c r="AL58" s="46"/>
      <c r="AM58" s="46"/>
      <c r="AN58" s="46"/>
      <c r="AO58" s="46"/>
      <c r="AP58" s="46"/>
      <c r="AQ58" s="46"/>
      <c r="AR58" s="46"/>
    </row>
    <row r="59" spans="2:44" ht="13" x14ac:dyDescent="0.3">
      <c r="B59" s="102" t="s">
        <v>328</v>
      </c>
      <c r="C59" s="108" t="s">
        <v>62</v>
      </c>
      <c r="D59" s="104">
        <f>IF(Table1[[#This Row],[2022 Value known?]]="No",6,0)</f>
        <v>6</v>
      </c>
      <c r="E59" s="95">
        <f>25</f>
        <v>25</v>
      </c>
      <c r="F59" s="109" t="s">
        <v>62</v>
      </c>
      <c r="G59" s="97">
        <f>IF(Table1[[#This Row],[2025 Value known?]]="No",6,0)</f>
        <v>6</v>
      </c>
      <c r="H59" s="95">
        <v>25</v>
      </c>
      <c r="I59" s="96" t="s">
        <v>13</v>
      </c>
      <c r="J59" s="152">
        <f t="shared" si="2"/>
        <v>0.22500000000000001</v>
      </c>
      <c r="K59" s="151">
        <f t="shared" si="1"/>
        <v>9</v>
      </c>
      <c r="L59" s="46"/>
      <c r="M59" s="46"/>
      <c r="N59" s="46"/>
      <c r="O59" s="46"/>
      <c r="P59" s="46"/>
      <c r="Z59" s="134" t="s">
        <v>437</v>
      </c>
      <c r="AA59" s="138" t="s">
        <v>475</v>
      </c>
      <c r="AB59" s="138">
        <f>100</f>
        <v>100</v>
      </c>
      <c r="AC59" s="144">
        <v>1.52</v>
      </c>
      <c r="AD59" s="46"/>
      <c r="AE59" s="46"/>
      <c r="AF59" s="46"/>
      <c r="AG59" s="46"/>
      <c r="AH59" s="46"/>
      <c r="AI59" s="46"/>
      <c r="AJ59" s="46"/>
      <c r="AK59" s="46"/>
      <c r="AL59" s="46"/>
      <c r="AM59" s="46"/>
      <c r="AN59" s="46"/>
      <c r="AO59" s="46"/>
      <c r="AP59" s="46"/>
      <c r="AQ59" s="46"/>
      <c r="AR59" s="46"/>
    </row>
    <row r="60" spans="2:44" ht="13.5" thickBot="1" x14ac:dyDescent="0.35">
      <c r="B60" s="102" t="s">
        <v>329</v>
      </c>
      <c r="C60" s="108" t="s">
        <v>13</v>
      </c>
      <c r="D60" s="104">
        <v>0.65</v>
      </c>
      <c r="E60" s="95">
        <f>25</f>
        <v>25</v>
      </c>
      <c r="F60" s="109" t="s">
        <v>13</v>
      </c>
      <c r="G60" s="97">
        <v>0.65</v>
      </c>
      <c r="H60" s="95">
        <v>25</v>
      </c>
      <c r="I60" s="96" t="s">
        <v>13</v>
      </c>
      <c r="J60" s="152">
        <f t="shared" si="2"/>
        <v>0.22500000000000001</v>
      </c>
      <c r="K60" s="151">
        <f t="shared" si="1"/>
        <v>9</v>
      </c>
      <c r="L60" s="46"/>
      <c r="M60" s="46"/>
      <c r="N60" s="46"/>
      <c r="O60" s="46"/>
      <c r="P60" s="46"/>
      <c r="Q60" s="46"/>
      <c r="R60" s="46"/>
      <c r="S60" s="46"/>
      <c r="T60" s="46"/>
      <c r="U60" s="46"/>
      <c r="V60" s="46"/>
      <c r="W60" s="46"/>
      <c r="X60" s="46"/>
      <c r="Z60" s="136" t="s">
        <v>437</v>
      </c>
      <c r="AA60" s="140" t="s">
        <v>448</v>
      </c>
      <c r="AB60" s="140">
        <f t="shared" si="14"/>
        <v>42</v>
      </c>
      <c r="AC60" s="145">
        <v>1.68</v>
      </c>
      <c r="AD60" s="46"/>
      <c r="AE60" s="46"/>
      <c r="AF60" s="46"/>
      <c r="AG60" s="46"/>
      <c r="AH60" s="46"/>
      <c r="AI60" s="46"/>
      <c r="AJ60" s="46"/>
      <c r="AK60" s="46"/>
      <c r="AL60" s="46"/>
      <c r="AM60" s="46"/>
      <c r="AN60" s="46"/>
      <c r="AO60" s="46"/>
      <c r="AP60" s="46"/>
      <c r="AQ60" s="46"/>
      <c r="AR60" s="46"/>
    </row>
    <row r="61" spans="2:44" ht="13" x14ac:dyDescent="0.3">
      <c r="B61" s="102" t="s">
        <v>330</v>
      </c>
      <c r="C61" s="108" t="s">
        <v>62</v>
      </c>
      <c r="D61" s="104">
        <f>IF(Table1[[#This Row],[2022 Value known?]]="No",6,0)</f>
        <v>6</v>
      </c>
      <c r="E61" s="95">
        <f>25</f>
        <v>25</v>
      </c>
      <c r="F61" s="109" t="s">
        <v>62</v>
      </c>
      <c r="G61" s="97">
        <f>IF(Table1[[#This Row],[2025 Value known?]]="No",6,0)</f>
        <v>6</v>
      </c>
      <c r="H61" s="95">
        <v>25</v>
      </c>
      <c r="I61" s="96" t="s">
        <v>13</v>
      </c>
      <c r="J61" s="152">
        <f t="shared" si="2"/>
        <v>0.22500000000000001</v>
      </c>
      <c r="K61" s="151">
        <f t="shared" si="1"/>
        <v>9</v>
      </c>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row>
    <row r="62" spans="2:44" ht="13" x14ac:dyDescent="0.3">
      <c r="B62" s="102" t="s">
        <v>331</v>
      </c>
      <c r="C62" s="108" t="s">
        <v>62</v>
      </c>
      <c r="D62" s="104">
        <f>IF(Table1[[#This Row],[2022 Value known?]]="No",6,0)</f>
        <v>6</v>
      </c>
      <c r="E62" s="95">
        <f>25</f>
        <v>25</v>
      </c>
      <c r="F62" s="109" t="s">
        <v>62</v>
      </c>
      <c r="G62" s="97">
        <f>IF(Table1[[#This Row],[2025 Value known?]]="No",6,0)</f>
        <v>6</v>
      </c>
      <c r="H62" s="95">
        <v>25</v>
      </c>
      <c r="I62" s="96" t="s">
        <v>13</v>
      </c>
      <c r="J62" s="152">
        <f t="shared" si="2"/>
        <v>0.22500000000000001</v>
      </c>
      <c r="K62" s="151">
        <f t="shared" si="1"/>
        <v>9</v>
      </c>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row>
    <row r="63" spans="2:44" ht="13" x14ac:dyDescent="0.3">
      <c r="B63" s="102" t="s">
        <v>332</v>
      </c>
      <c r="C63" s="108" t="s">
        <v>62</v>
      </c>
      <c r="D63" s="104">
        <f>IF(Table1[[#This Row],[2022 Value known?]]="No",6,0)</f>
        <v>6</v>
      </c>
      <c r="E63" s="95">
        <f>25</f>
        <v>25</v>
      </c>
      <c r="F63" s="109" t="s">
        <v>62</v>
      </c>
      <c r="G63" s="97">
        <f>IF(Table1[[#This Row],[2025 Value known?]]="No",6,0)</f>
        <v>6</v>
      </c>
      <c r="H63" s="95">
        <v>25</v>
      </c>
      <c r="I63" s="96" t="s">
        <v>13</v>
      </c>
      <c r="J63" s="152">
        <f t="shared" si="2"/>
        <v>0.22500000000000001</v>
      </c>
      <c r="K63" s="151">
        <f t="shared" si="1"/>
        <v>9</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row>
    <row r="64" spans="2:44" ht="13" x14ac:dyDescent="0.3">
      <c r="B64" s="102" t="s">
        <v>333</v>
      </c>
      <c r="C64" s="108" t="s">
        <v>62</v>
      </c>
      <c r="D64" s="104">
        <f>IF(Table1[[#This Row],[2022 Value known?]]="No",6,0)</f>
        <v>6</v>
      </c>
      <c r="E64" s="95">
        <f>25</f>
        <v>25</v>
      </c>
      <c r="F64" s="109" t="s">
        <v>62</v>
      </c>
      <c r="G64" s="97">
        <f>IF(Table1[[#This Row],[2025 Value known?]]="No",6,0)</f>
        <v>6</v>
      </c>
      <c r="H64" s="95">
        <v>25</v>
      </c>
      <c r="I64" s="96" t="s">
        <v>13</v>
      </c>
      <c r="J64" s="152">
        <f t="shared" si="2"/>
        <v>0.22500000000000001</v>
      </c>
      <c r="K64" s="151">
        <f t="shared" si="1"/>
        <v>9</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row>
    <row r="65" spans="2:44" ht="13" x14ac:dyDescent="0.3">
      <c r="B65" s="102" t="s">
        <v>334</v>
      </c>
      <c r="C65" s="108" t="s">
        <v>62</v>
      </c>
      <c r="D65" s="104">
        <f>IF(Table1[[#This Row],[2022 Value known?]]="No",6,0)</f>
        <v>6</v>
      </c>
      <c r="E65" s="95">
        <f>25</f>
        <v>25</v>
      </c>
      <c r="F65" s="109" t="s">
        <v>62</v>
      </c>
      <c r="G65" s="97">
        <f>IF(Table1[[#This Row],[2025 Value known?]]="No",6,0)</f>
        <v>6</v>
      </c>
      <c r="H65" s="95">
        <v>25</v>
      </c>
      <c r="I65" s="96" t="s">
        <v>13</v>
      </c>
      <c r="J65" s="152">
        <f t="shared" ref="J65:J86" si="15">0.25*0.9</f>
        <v>0.22500000000000001</v>
      </c>
      <c r="K65" s="151">
        <f t="shared" si="1"/>
        <v>9</v>
      </c>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row>
    <row r="66" spans="2:44" ht="13" x14ac:dyDescent="0.3">
      <c r="B66" s="102" t="s">
        <v>335</v>
      </c>
      <c r="C66" s="108" t="s">
        <v>62</v>
      </c>
      <c r="D66" s="104">
        <f>IF(Table1[[#This Row],[2022 Value known?]]="No",6,0)</f>
        <v>6</v>
      </c>
      <c r="E66" s="95">
        <f>25</f>
        <v>25</v>
      </c>
      <c r="F66" s="109" t="s">
        <v>62</v>
      </c>
      <c r="G66" s="97">
        <f>IF(Table1[[#This Row],[2025 Value known?]]="No",6,0)</f>
        <v>6</v>
      </c>
      <c r="H66" s="95">
        <v>25</v>
      </c>
      <c r="I66" s="96" t="s">
        <v>13</v>
      </c>
      <c r="J66" s="152">
        <f t="shared" si="15"/>
        <v>0.22500000000000001</v>
      </c>
      <c r="K66" s="151">
        <f t="shared" ref="K66:K86" si="16">10*0.9</f>
        <v>9</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row>
    <row r="67" spans="2:44" ht="13" x14ac:dyDescent="0.3">
      <c r="B67" s="102" t="s">
        <v>336</v>
      </c>
      <c r="C67" s="108" t="s">
        <v>13</v>
      </c>
      <c r="D67" s="117">
        <f>3*0.76</f>
        <v>2.2800000000000002</v>
      </c>
      <c r="E67" s="95">
        <f>25</f>
        <v>25</v>
      </c>
      <c r="F67" s="109" t="s">
        <v>13</v>
      </c>
      <c r="G67" s="157">
        <f>0.5*0.9</f>
        <v>0.45</v>
      </c>
      <c r="H67" s="95">
        <v>25</v>
      </c>
      <c r="I67" s="96" t="s">
        <v>13</v>
      </c>
      <c r="J67" s="152">
        <f t="shared" si="15"/>
        <v>0.22500000000000001</v>
      </c>
      <c r="K67" s="151">
        <f t="shared" si="16"/>
        <v>9</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row>
    <row r="68" spans="2:44" ht="13" x14ac:dyDescent="0.3">
      <c r="B68" s="102" t="s">
        <v>337</v>
      </c>
      <c r="C68" s="108" t="s">
        <v>62</v>
      </c>
      <c r="D68" s="104">
        <f>IF(Table1[[#This Row],[2022 Value known?]]="No",6,0)</f>
        <v>6</v>
      </c>
      <c r="E68" s="95">
        <f>25</f>
        <v>25</v>
      </c>
      <c r="F68" s="109" t="s">
        <v>62</v>
      </c>
      <c r="G68" s="97">
        <f>IF(Table1[[#This Row],[2025 Value known?]]="No",6,0)</f>
        <v>6</v>
      </c>
      <c r="H68" s="95">
        <v>25</v>
      </c>
      <c r="I68" s="96" t="s">
        <v>13</v>
      </c>
      <c r="J68" s="152">
        <f t="shared" si="15"/>
        <v>0.22500000000000001</v>
      </c>
      <c r="K68" s="151">
        <f t="shared" si="16"/>
        <v>9</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row>
    <row r="69" spans="2:44" ht="13" x14ac:dyDescent="0.3">
      <c r="B69" s="102" t="s">
        <v>338</v>
      </c>
      <c r="C69" s="108" t="s">
        <v>62</v>
      </c>
      <c r="D69" s="104">
        <f>IF(Table1[[#This Row],[2022 Value known?]]="No",6,0)</f>
        <v>6</v>
      </c>
      <c r="E69" s="95">
        <f>25</f>
        <v>25</v>
      </c>
      <c r="F69" s="109" t="s">
        <v>62</v>
      </c>
      <c r="G69" s="97">
        <f>IF(Table1[[#This Row],[2025 Value known?]]="No",6,0)</f>
        <v>6</v>
      </c>
      <c r="H69" s="95">
        <v>25</v>
      </c>
      <c r="I69" s="96" t="s">
        <v>13</v>
      </c>
      <c r="J69" s="152">
        <f t="shared" si="15"/>
        <v>0.22500000000000001</v>
      </c>
      <c r="K69" s="151">
        <f t="shared" si="16"/>
        <v>9</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row>
    <row r="70" spans="2:44" ht="13" x14ac:dyDescent="0.3">
      <c r="B70" s="102" t="s">
        <v>339</v>
      </c>
      <c r="C70" s="108" t="s">
        <v>13</v>
      </c>
      <c r="D70" s="104">
        <v>0.86</v>
      </c>
      <c r="E70" s="95">
        <f>25</f>
        <v>25</v>
      </c>
      <c r="F70" s="109" t="s">
        <v>13</v>
      </c>
      <c r="G70" s="97">
        <v>0.86</v>
      </c>
      <c r="H70" s="95">
        <v>25</v>
      </c>
      <c r="I70" s="96" t="s">
        <v>13</v>
      </c>
      <c r="J70" s="152">
        <f t="shared" si="15"/>
        <v>0.22500000000000001</v>
      </c>
      <c r="K70" s="151">
        <f t="shared" si="16"/>
        <v>9</v>
      </c>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row>
    <row r="71" spans="2:44" ht="13" x14ac:dyDescent="0.3">
      <c r="B71" s="102" t="s">
        <v>340</v>
      </c>
      <c r="C71" s="108" t="s">
        <v>62</v>
      </c>
      <c r="D71" s="104">
        <f>IF(Table1[[#This Row],[2022 Value known?]]="No",6,0)</f>
        <v>6</v>
      </c>
      <c r="E71" s="95">
        <f>25</f>
        <v>25</v>
      </c>
      <c r="F71" s="109" t="s">
        <v>62</v>
      </c>
      <c r="G71" s="97">
        <f>IF(Table1[[#This Row],[2025 Value known?]]="No",6,0)</f>
        <v>6</v>
      </c>
      <c r="H71" s="95">
        <v>25</v>
      </c>
      <c r="I71" s="96" t="s">
        <v>13</v>
      </c>
      <c r="J71" s="152">
        <f t="shared" si="15"/>
        <v>0.22500000000000001</v>
      </c>
      <c r="K71" s="151">
        <f t="shared" si="16"/>
        <v>9</v>
      </c>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2:44" ht="13" x14ac:dyDescent="0.3">
      <c r="B72" s="102" t="s">
        <v>341</v>
      </c>
      <c r="C72" s="108" t="s">
        <v>62</v>
      </c>
      <c r="D72" s="104">
        <f>IF(Table1[[#This Row],[2022 Value known?]]="No",6,0)</f>
        <v>6</v>
      </c>
      <c r="E72" s="95">
        <f>25</f>
        <v>25</v>
      </c>
      <c r="F72" s="109" t="s">
        <v>62</v>
      </c>
      <c r="G72" s="97">
        <f>IF(Table1[[#This Row],[2025 Value known?]]="No",6,0)</f>
        <v>6</v>
      </c>
      <c r="H72" s="95">
        <v>25</v>
      </c>
      <c r="I72" s="96" t="s">
        <v>13</v>
      </c>
      <c r="J72" s="152">
        <f t="shared" si="15"/>
        <v>0.22500000000000001</v>
      </c>
      <c r="K72" s="151">
        <f t="shared" si="16"/>
        <v>9</v>
      </c>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row>
    <row r="73" spans="2:44" ht="13" x14ac:dyDescent="0.3">
      <c r="B73" s="102" t="s">
        <v>342</v>
      </c>
      <c r="C73" s="108" t="s">
        <v>62</v>
      </c>
      <c r="D73" s="104">
        <f>IF(Table1[[#This Row],[2022 Value known?]]="No",6,0)</f>
        <v>6</v>
      </c>
      <c r="E73" s="95">
        <f>25</f>
        <v>25</v>
      </c>
      <c r="F73" s="109" t="s">
        <v>62</v>
      </c>
      <c r="G73" s="97">
        <f>IF(Table1[[#This Row],[2025 Value known?]]="No",6,0)</f>
        <v>6</v>
      </c>
      <c r="H73" s="95">
        <v>25</v>
      </c>
      <c r="I73" s="96" t="s">
        <v>13</v>
      </c>
      <c r="J73" s="152">
        <f t="shared" si="15"/>
        <v>0.22500000000000001</v>
      </c>
      <c r="K73" s="151">
        <f t="shared" si="16"/>
        <v>9</v>
      </c>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row>
    <row r="74" spans="2:44" ht="13" x14ac:dyDescent="0.3">
      <c r="B74" s="102" t="s">
        <v>343</v>
      </c>
      <c r="C74" s="108" t="s">
        <v>62</v>
      </c>
      <c r="D74" s="104">
        <f>IF(Table1[[#This Row],[2022 Value known?]]="No",6,0)</f>
        <v>6</v>
      </c>
      <c r="E74" s="95">
        <f>25</f>
        <v>25</v>
      </c>
      <c r="F74" s="109" t="s">
        <v>62</v>
      </c>
      <c r="G74" s="97">
        <f>IF(Table1[[#This Row],[2025 Value known?]]="No",6,0)</f>
        <v>6</v>
      </c>
      <c r="H74" s="95">
        <v>25</v>
      </c>
      <c r="I74" s="96" t="s">
        <v>13</v>
      </c>
      <c r="J74" s="152">
        <f t="shared" si="15"/>
        <v>0.22500000000000001</v>
      </c>
      <c r="K74" s="151">
        <f t="shared" si="16"/>
        <v>9</v>
      </c>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row>
    <row r="75" spans="2:44" ht="13" x14ac:dyDescent="0.3">
      <c r="B75" s="102" t="s">
        <v>344</v>
      </c>
      <c r="C75" s="108" t="s">
        <v>13</v>
      </c>
      <c r="D75" s="117">
        <f>2*0.76</f>
        <v>1.52</v>
      </c>
      <c r="E75" s="95">
        <f>25</f>
        <v>25</v>
      </c>
      <c r="F75" s="109" t="s">
        <v>13</v>
      </c>
      <c r="G75" s="118">
        <f>2*0.76</f>
        <v>1.52</v>
      </c>
      <c r="H75" s="95">
        <v>25</v>
      </c>
      <c r="I75" s="96" t="s">
        <v>13</v>
      </c>
      <c r="J75" s="152">
        <f t="shared" si="15"/>
        <v>0.22500000000000001</v>
      </c>
      <c r="K75" s="151">
        <f t="shared" si="16"/>
        <v>9</v>
      </c>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row>
    <row r="76" spans="2:44" ht="13" x14ac:dyDescent="0.3">
      <c r="B76" s="102" t="s">
        <v>345</v>
      </c>
      <c r="C76" s="108" t="s">
        <v>62</v>
      </c>
      <c r="D76" s="104">
        <f>IF(Table1[[#This Row],[2022 Value known?]]="No",6,0)</f>
        <v>6</v>
      </c>
      <c r="E76" s="95">
        <f>25</f>
        <v>25</v>
      </c>
      <c r="F76" s="109" t="s">
        <v>62</v>
      </c>
      <c r="G76" s="97">
        <f>IF(Table1[[#This Row],[2025 Value known?]]="No",6,0)</f>
        <v>6</v>
      </c>
      <c r="H76" s="95">
        <v>25</v>
      </c>
      <c r="I76" s="96" t="s">
        <v>13</v>
      </c>
      <c r="J76" s="152">
        <f t="shared" si="15"/>
        <v>0.22500000000000001</v>
      </c>
      <c r="K76" s="151">
        <f t="shared" si="16"/>
        <v>9</v>
      </c>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row>
    <row r="77" spans="2:44" ht="13" x14ac:dyDescent="0.3">
      <c r="B77" s="102" t="s">
        <v>346</v>
      </c>
      <c r="C77" s="108" t="s">
        <v>62</v>
      </c>
      <c r="D77" s="104">
        <f>IF(Table1[[#This Row],[2022 Value known?]]="No",6,0)</f>
        <v>6</v>
      </c>
      <c r="E77" s="95">
        <f>25</f>
        <v>25</v>
      </c>
      <c r="F77" s="109" t="s">
        <v>13</v>
      </c>
      <c r="G77" s="157">
        <f>0.4*0.9</f>
        <v>0.36000000000000004</v>
      </c>
      <c r="H77" s="95">
        <v>25</v>
      </c>
      <c r="I77" s="96" t="s">
        <v>13</v>
      </c>
      <c r="J77" s="152">
        <f t="shared" si="15"/>
        <v>0.22500000000000001</v>
      </c>
      <c r="K77" s="151">
        <f t="shared" si="16"/>
        <v>9</v>
      </c>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row>
    <row r="78" spans="2:44" ht="13" x14ac:dyDescent="0.3">
      <c r="B78" s="102" t="s">
        <v>347</v>
      </c>
      <c r="C78" s="108" t="s">
        <v>62</v>
      </c>
      <c r="D78" s="104">
        <f>IF(Table1[[#This Row],[2022 Value known?]]="No",6,0)</f>
        <v>6</v>
      </c>
      <c r="E78" s="95">
        <f>25</f>
        <v>25</v>
      </c>
      <c r="F78" s="109" t="s">
        <v>62</v>
      </c>
      <c r="G78" s="97">
        <f>IF(Table1[[#This Row],[2025 Value known?]]="No",6,0)</f>
        <v>6</v>
      </c>
      <c r="H78" s="95">
        <v>25</v>
      </c>
      <c r="I78" s="96" t="s">
        <v>13</v>
      </c>
      <c r="J78" s="152">
        <f t="shared" si="15"/>
        <v>0.22500000000000001</v>
      </c>
      <c r="K78" s="151">
        <f t="shared" si="16"/>
        <v>9</v>
      </c>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row>
    <row r="79" spans="2:44" ht="13" x14ac:dyDescent="0.3">
      <c r="B79" s="102" t="s">
        <v>470</v>
      </c>
      <c r="C79" s="108" t="s">
        <v>62</v>
      </c>
      <c r="D79" s="104">
        <f>IF(Table1[[#This Row],[2022 Value known?]]="No",6,0)</f>
        <v>6</v>
      </c>
      <c r="E79" s="95">
        <f>25</f>
        <v>25</v>
      </c>
      <c r="F79" s="109" t="s">
        <v>62</v>
      </c>
      <c r="G79" s="97">
        <f>IF(Table1[[#This Row],[2025 Value known?]]="No",6,0)</f>
        <v>6</v>
      </c>
      <c r="H79" s="95">
        <v>25</v>
      </c>
      <c r="I79" s="96" t="s">
        <v>13</v>
      </c>
      <c r="J79" s="152">
        <f t="shared" si="15"/>
        <v>0.22500000000000001</v>
      </c>
      <c r="K79" s="151">
        <f t="shared" si="16"/>
        <v>9</v>
      </c>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row>
    <row r="80" spans="2:44" ht="13" x14ac:dyDescent="0.3">
      <c r="B80" s="102" t="s">
        <v>348</v>
      </c>
      <c r="C80" s="108" t="s">
        <v>62</v>
      </c>
      <c r="D80" s="104">
        <f>IF(Table1[[#This Row],[2022 Value known?]]="No",6,0)</f>
        <v>6</v>
      </c>
      <c r="E80" s="95">
        <f>25</f>
        <v>25</v>
      </c>
      <c r="F80" s="109" t="s">
        <v>62</v>
      </c>
      <c r="G80" s="97">
        <f>IF(Table1[[#This Row],[2025 Value known?]]="No",6,0)</f>
        <v>6</v>
      </c>
      <c r="H80" s="95">
        <v>25</v>
      </c>
      <c r="I80" s="96" t="s">
        <v>13</v>
      </c>
      <c r="J80" s="152">
        <f t="shared" si="15"/>
        <v>0.22500000000000001</v>
      </c>
      <c r="K80" s="151">
        <f t="shared" si="16"/>
        <v>9</v>
      </c>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row>
    <row r="81" spans="2:44" ht="13" x14ac:dyDescent="0.3">
      <c r="B81" s="102" t="s">
        <v>349</v>
      </c>
      <c r="C81" s="108" t="s">
        <v>62</v>
      </c>
      <c r="D81" s="104">
        <f>IF(Table1[[#This Row],[2022 Value known?]]="No",6,0)</f>
        <v>6</v>
      </c>
      <c r="E81" s="95">
        <f>25</f>
        <v>25</v>
      </c>
      <c r="F81" s="109" t="s">
        <v>62</v>
      </c>
      <c r="G81" s="97">
        <f>IF(Table1[[#This Row],[2025 Value known?]]="No",6,0)</f>
        <v>6</v>
      </c>
      <c r="H81" s="95">
        <v>25</v>
      </c>
      <c r="I81" s="96" t="s">
        <v>13</v>
      </c>
      <c r="J81" s="152">
        <f t="shared" si="15"/>
        <v>0.22500000000000001</v>
      </c>
      <c r="K81" s="151">
        <f t="shared" si="16"/>
        <v>9</v>
      </c>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row>
    <row r="82" spans="2:44" ht="13" x14ac:dyDescent="0.3">
      <c r="B82" s="102" t="s">
        <v>350</v>
      </c>
      <c r="C82" s="108" t="s">
        <v>62</v>
      </c>
      <c r="D82" s="104">
        <f>IF(Table1[[#This Row],[2022 Value known?]]="No",6,0)</f>
        <v>6</v>
      </c>
      <c r="E82" s="95">
        <f>25</f>
        <v>25</v>
      </c>
      <c r="F82" s="109" t="s">
        <v>62</v>
      </c>
      <c r="G82" s="97">
        <f>IF(Table1[[#This Row],[2025 Value known?]]="No",6,0)</f>
        <v>6</v>
      </c>
      <c r="H82" s="95">
        <v>25</v>
      </c>
      <c r="I82" s="96" t="s">
        <v>13</v>
      </c>
      <c r="J82" s="152">
        <f t="shared" si="15"/>
        <v>0.22500000000000001</v>
      </c>
      <c r="K82" s="151">
        <f t="shared" si="16"/>
        <v>9</v>
      </c>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row>
    <row r="83" spans="2:44" ht="13" x14ac:dyDescent="0.3">
      <c r="B83" s="102" t="s">
        <v>351</v>
      </c>
      <c r="C83" s="108" t="s">
        <v>62</v>
      </c>
      <c r="D83" s="104">
        <f>IF(Table1[[#This Row],[2022 Value known?]]="No",6,0)</f>
        <v>6</v>
      </c>
      <c r="E83" s="95">
        <f>25</f>
        <v>25</v>
      </c>
      <c r="F83" s="109" t="s">
        <v>62</v>
      </c>
      <c r="G83" s="97">
        <f>IF(Table1[[#This Row],[2025 Value known?]]="No",6,0)</f>
        <v>6</v>
      </c>
      <c r="H83" s="95">
        <v>25</v>
      </c>
      <c r="I83" s="96" t="s">
        <v>13</v>
      </c>
      <c r="J83" s="152">
        <f t="shared" si="15"/>
        <v>0.22500000000000001</v>
      </c>
      <c r="K83" s="151">
        <f t="shared" si="16"/>
        <v>9</v>
      </c>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row>
    <row r="84" spans="2:44" ht="13" x14ac:dyDescent="0.3">
      <c r="B84" s="102" t="s">
        <v>352</v>
      </c>
      <c r="C84" s="108" t="s">
        <v>62</v>
      </c>
      <c r="D84" s="104">
        <f>IF(Table1[[#This Row],[2022 Value known?]]="No",6,0)</f>
        <v>6</v>
      </c>
      <c r="E84" s="95">
        <f>25</f>
        <v>25</v>
      </c>
      <c r="F84" s="109" t="s">
        <v>62</v>
      </c>
      <c r="G84" s="97">
        <f>IF(Table1[[#This Row],[2025 Value known?]]="No",6,0)</f>
        <v>6</v>
      </c>
      <c r="H84" s="95">
        <v>25</v>
      </c>
      <c r="I84" s="96" t="s">
        <v>13</v>
      </c>
      <c r="J84" s="152">
        <f t="shared" si="15"/>
        <v>0.22500000000000001</v>
      </c>
      <c r="K84" s="151">
        <f t="shared" si="16"/>
        <v>9</v>
      </c>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row>
    <row r="85" spans="2:44" ht="13" x14ac:dyDescent="0.3">
      <c r="B85" s="102" t="s">
        <v>353</v>
      </c>
      <c r="C85" s="108" t="s">
        <v>13</v>
      </c>
      <c r="D85" s="155">
        <f>1*0.9</f>
        <v>0.9</v>
      </c>
      <c r="E85" s="95">
        <f>25</f>
        <v>25</v>
      </c>
      <c r="F85" s="109" t="s">
        <v>13</v>
      </c>
      <c r="G85" s="157">
        <f>1*0.9</f>
        <v>0.9</v>
      </c>
      <c r="H85" s="95">
        <v>25</v>
      </c>
      <c r="I85" s="96" t="s">
        <v>13</v>
      </c>
      <c r="J85" s="152">
        <f t="shared" si="15"/>
        <v>0.22500000000000001</v>
      </c>
      <c r="K85" s="151">
        <f t="shared" si="16"/>
        <v>9</v>
      </c>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row>
    <row r="86" spans="2:44" ht="13" x14ac:dyDescent="0.3">
      <c r="B86" s="166" t="s">
        <v>354</v>
      </c>
      <c r="C86" s="167" t="s">
        <v>13</v>
      </c>
      <c r="D86" s="105">
        <v>0.61</v>
      </c>
      <c r="E86" s="164">
        <f>25</f>
        <v>25</v>
      </c>
      <c r="F86" s="119" t="s">
        <v>13</v>
      </c>
      <c r="G86" s="120">
        <v>0.61</v>
      </c>
      <c r="H86" s="164">
        <v>25</v>
      </c>
      <c r="I86" s="165" t="s">
        <v>13</v>
      </c>
      <c r="J86" s="153">
        <f t="shared" si="15"/>
        <v>0.22500000000000001</v>
      </c>
      <c r="K86" s="168">
        <f t="shared" si="16"/>
        <v>9</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row>
    <row r="87" spans="2:44" ht="13" x14ac:dyDescent="0.3">
      <c r="B87" s="402"/>
      <c r="C87" s="87"/>
      <c r="D87" s="403"/>
      <c r="E87" s="404"/>
      <c r="F87" s="405"/>
      <c r="G87" s="406"/>
      <c r="H87" s="404"/>
      <c r="I87" s="407"/>
      <c r="J87" s="406"/>
      <c r="K87" s="406"/>
      <c r="L87" s="87"/>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row>
    <row r="88" spans="2:44" ht="13" x14ac:dyDescent="0.3">
      <c r="B88" s="402"/>
      <c r="C88" s="410"/>
      <c r="D88" s="403" t="s">
        <v>612</v>
      </c>
      <c r="E88" s="404"/>
      <c r="F88" s="405"/>
      <c r="G88" s="406"/>
      <c r="H88" s="404"/>
      <c r="I88" s="407"/>
      <c r="J88" s="406"/>
      <c r="K88" s="406"/>
      <c r="L88" s="87"/>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row>
    <row r="89" spans="2:44" ht="26" x14ac:dyDescent="0.3">
      <c r="B89" s="402"/>
      <c r="C89" s="411"/>
      <c r="D89" s="412" t="s">
        <v>613</v>
      </c>
      <c r="E89" s="408"/>
      <c r="F89" s="405"/>
      <c r="G89" s="405"/>
      <c r="H89" s="405"/>
      <c r="I89" s="409"/>
      <c r="J89" s="87"/>
      <c r="K89" s="87"/>
      <c r="L89" s="87"/>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row>
    <row r="90" spans="2:44" ht="13" x14ac:dyDescent="0.3">
      <c r="B90" s="154"/>
      <c r="C90" s="75"/>
      <c r="D90" s="121"/>
      <c r="E90" s="121"/>
      <c r="F90" s="122"/>
      <c r="G90" s="122"/>
      <c r="H90" s="122"/>
      <c r="I90" s="123"/>
      <c r="J90" s="75"/>
      <c r="K90" s="75"/>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row>
    <row r="91" spans="2:44" ht="13" x14ac:dyDescent="0.3">
      <c r="B91" s="75"/>
      <c r="C91" s="75"/>
      <c r="D91" s="75"/>
      <c r="E91" s="75"/>
      <c r="F91" s="75"/>
      <c r="G91" s="75"/>
      <c r="H91" s="75"/>
      <c r="I91" s="75"/>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row>
    <row r="92" spans="2:44" ht="13" x14ac:dyDescent="0.3">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row>
    <row r="93" spans="2:44" ht="13" x14ac:dyDescent="0.3">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row>
    <row r="94" spans="2:44" ht="13" x14ac:dyDescent="0.3">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row>
    <row r="95" spans="2:44" ht="13" x14ac:dyDescent="0.3">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row>
    <row r="96" spans="2:44" ht="13" x14ac:dyDescent="0.3">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row>
    <row r="97" spans="2:42" ht="13" x14ac:dyDescent="0.3">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row>
    <row r="98" spans="2:42" ht="13" x14ac:dyDescent="0.3">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row>
    <row r="99" spans="2:42" ht="13" x14ac:dyDescent="0.3">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row>
    <row r="100" spans="2:42" ht="13" x14ac:dyDescent="0.3">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row>
    <row r="101" spans="2:42" ht="13" x14ac:dyDescent="0.3">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row>
    <row r="102" spans="2:42" ht="13" x14ac:dyDescent="0.3">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row>
    <row r="103" spans="2:42" ht="13" x14ac:dyDescent="0.3">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row>
    <row r="104" spans="2:42" ht="13" x14ac:dyDescent="0.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row>
    <row r="105" spans="2:42" ht="13" x14ac:dyDescent="0.3">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row>
    <row r="106" spans="2:42" ht="13" x14ac:dyDescent="0.3">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row>
    <row r="107" spans="2:42" ht="13" x14ac:dyDescent="0.3">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row>
    <row r="108" spans="2:42" ht="13" x14ac:dyDescent="0.3">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row>
    <row r="109" spans="2:42" ht="13" x14ac:dyDescent="0.3">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row>
    <row r="110" spans="2:42" ht="13" x14ac:dyDescent="0.3">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row>
    <row r="111" spans="2:42" ht="13" x14ac:dyDescent="0.3">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row>
    <row r="112" spans="2:42" ht="13" x14ac:dyDescent="0.3">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row>
    <row r="113" spans="2:42" ht="13" x14ac:dyDescent="0.3">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row>
    <row r="114" spans="2:42" ht="13" x14ac:dyDescent="0.3">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row>
    <row r="115" spans="2:42" ht="13" x14ac:dyDescent="0.3">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row>
    <row r="116" spans="2:42" ht="13" x14ac:dyDescent="0.3">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row>
    <row r="117" spans="2:42" ht="13" x14ac:dyDescent="0.3">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row>
    <row r="118" spans="2:42" ht="13" x14ac:dyDescent="0.3">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row>
    <row r="119" spans="2:42" ht="13" x14ac:dyDescent="0.3">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row>
    <row r="120" spans="2:42" ht="13" x14ac:dyDescent="0.3">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row>
    <row r="121" spans="2:42" ht="13" x14ac:dyDescent="0.3">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row>
    <row r="122" spans="2:42" ht="13" x14ac:dyDescent="0.3">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row>
    <row r="123" spans="2:42" ht="13" x14ac:dyDescent="0.3">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row>
    <row r="124" spans="2:42" ht="13" x14ac:dyDescent="0.3">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row>
    <row r="125" spans="2:42" ht="13" x14ac:dyDescent="0.3">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row>
    <row r="126" spans="2:42" ht="13" x14ac:dyDescent="0.3">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row>
    <row r="127" spans="2:42" ht="13" x14ac:dyDescent="0.3">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row>
    <row r="128" spans="2:42" ht="13" x14ac:dyDescent="0.3">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row>
    <row r="129" spans="2:42" ht="13" x14ac:dyDescent="0.3">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row>
    <row r="130" spans="2:42" ht="13" x14ac:dyDescent="0.3">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row>
    <row r="131" spans="2:42" ht="13" x14ac:dyDescent="0.3">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row>
    <row r="132" spans="2:42" ht="13" x14ac:dyDescent="0.3">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row>
    <row r="133" spans="2:42" ht="13" x14ac:dyDescent="0.3">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row>
    <row r="134" spans="2:42" ht="13" x14ac:dyDescent="0.3">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row>
    <row r="135" spans="2:42" ht="13" x14ac:dyDescent="0.3">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row>
    <row r="136" spans="2:42" ht="13" x14ac:dyDescent="0.3">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row>
    <row r="137" spans="2:42" ht="13" x14ac:dyDescent="0.3">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row>
    <row r="138" spans="2:42" ht="13" x14ac:dyDescent="0.3">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row>
    <row r="139" spans="2:42" ht="13" x14ac:dyDescent="0.3">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row>
    <row r="140" spans="2:42" ht="13" x14ac:dyDescent="0.3">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row>
    <row r="141" spans="2:42" ht="13" x14ac:dyDescent="0.3">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row>
    <row r="142" spans="2:42" ht="13" x14ac:dyDescent="0.3">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row>
    <row r="143" spans="2:42" ht="13" x14ac:dyDescent="0.3">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row>
    <row r="144" spans="2:42" ht="13" x14ac:dyDescent="0.3">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row>
    <row r="145" spans="2:42" ht="13" x14ac:dyDescent="0.3">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row>
    <row r="146" spans="2:42" ht="13" x14ac:dyDescent="0.3">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row>
    <row r="147" spans="2:42" ht="13" x14ac:dyDescent="0.3">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row>
    <row r="148" spans="2:42" ht="13" x14ac:dyDescent="0.3">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row>
    <row r="149" spans="2:42" ht="13" x14ac:dyDescent="0.3">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row>
    <row r="150" spans="2:42" ht="13" x14ac:dyDescent="0.3">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row>
    <row r="151" spans="2:42" ht="13" x14ac:dyDescent="0.3">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row>
    <row r="152" spans="2:42" ht="13" x14ac:dyDescent="0.3">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row>
    <row r="153" spans="2:42" ht="13" x14ac:dyDescent="0.3">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row>
    <row r="154" spans="2:42" ht="13" x14ac:dyDescent="0.3">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row>
    <row r="155" spans="2:42" ht="13" x14ac:dyDescent="0.3">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row>
    <row r="156" spans="2:42" ht="13" x14ac:dyDescent="0.3">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row>
    <row r="157" spans="2:42" ht="13" x14ac:dyDescent="0.3">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row>
    <row r="158" spans="2:42" ht="13" x14ac:dyDescent="0.3">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row>
    <row r="159" spans="2:42" ht="13" x14ac:dyDescent="0.3">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row>
    <row r="160" spans="2:42" ht="13" x14ac:dyDescent="0.3">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row>
    <row r="161" spans="2:42" ht="13" x14ac:dyDescent="0.3">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row>
    <row r="162" spans="2:42" ht="13" x14ac:dyDescent="0.3">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row>
    <row r="163" spans="2:42" ht="13" x14ac:dyDescent="0.3">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row>
    <row r="164" spans="2:42" ht="13" x14ac:dyDescent="0.3">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row>
    <row r="165" spans="2:42" ht="13" x14ac:dyDescent="0.3">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row>
    <row r="166" spans="2:42" ht="13" x14ac:dyDescent="0.3">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row>
    <row r="167" spans="2:42" ht="13" x14ac:dyDescent="0.3">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row>
    <row r="168" spans="2:42" ht="13" x14ac:dyDescent="0.3">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row>
    <row r="169" spans="2:42" ht="13" x14ac:dyDescent="0.3">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row>
    <row r="170" spans="2:42" ht="13" x14ac:dyDescent="0.3">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row>
    <row r="171" spans="2:42" ht="13" x14ac:dyDescent="0.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row>
    <row r="172" spans="2:42" ht="13" x14ac:dyDescent="0.3">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row>
    <row r="173" spans="2:42" ht="13" x14ac:dyDescent="0.3">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row>
    <row r="174" spans="2:42" ht="13" x14ac:dyDescent="0.3">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row>
    <row r="175" spans="2:42" ht="13" x14ac:dyDescent="0.3">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row>
    <row r="176" spans="2:42" ht="13" x14ac:dyDescent="0.3">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row>
    <row r="177" spans="2:42" ht="13" x14ac:dyDescent="0.3">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row>
    <row r="178" spans="2:42" ht="13" x14ac:dyDescent="0.3">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row>
    <row r="179" spans="2:42" ht="13" x14ac:dyDescent="0.3">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row>
    <row r="180" spans="2:42" ht="13" x14ac:dyDescent="0.3">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row>
    <row r="181" spans="2:42" ht="13" x14ac:dyDescent="0.3">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row>
    <row r="182" spans="2:42" ht="13" x14ac:dyDescent="0.3">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row>
    <row r="183" spans="2:42" ht="13" x14ac:dyDescent="0.3">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row>
    <row r="184" spans="2:42" ht="13" x14ac:dyDescent="0.3">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row>
    <row r="185" spans="2:42" ht="13" x14ac:dyDescent="0.3">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row>
    <row r="186" spans="2:42" ht="13" x14ac:dyDescent="0.3">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row>
    <row r="187" spans="2:42" ht="13" x14ac:dyDescent="0.3">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row>
    <row r="188" spans="2:42" ht="13" x14ac:dyDescent="0.3">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row>
    <row r="189" spans="2:42" ht="13" x14ac:dyDescent="0.3">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row>
    <row r="190" spans="2:42" ht="13" x14ac:dyDescent="0.3">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row>
    <row r="191" spans="2:42" ht="13" x14ac:dyDescent="0.3">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row>
    <row r="192" spans="2:42" ht="13" x14ac:dyDescent="0.3">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row>
    <row r="193" spans="2:42" ht="13" x14ac:dyDescent="0.3">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row>
    <row r="194" spans="2:42" ht="13" x14ac:dyDescent="0.3">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row>
    <row r="195" spans="2:42" ht="13" x14ac:dyDescent="0.3">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row>
    <row r="196" spans="2:42" ht="13" x14ac:dyDescent="0.3">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row>
    <row r="197" spans="2:42" ht="13" x14ac:dyDescent="0.3">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row>
    <row r="198" spans="2:42" ht="13" x14ac:dyDescent="0.3">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row>
    <row r="199" spans="2:42" ht="13" x14ac:dyDescent="0.3">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row>
    <row r="200" spans="2:42" ht="13" x14ac:dyDescent="0.3">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row>
    <row r="201" spans="2:42" ht="13" x14ac:dyDescent="0.3">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row>
    <row r="202" spans="2:42" ht="13" x14ac:dyDescent="0.3">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row>
    <row r="203" spans="2:42" ht="13" x14ac:dyDescent="0.3">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row>
    <row r="204" spans="2:42" ht="13" x14ac:dyDescent="0.3">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row>
    <row r="205" spans="2:42" ht="13" x14ac:dyDescent="0.3">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row>
    <row r="206" spans="2:42" ht="13" x14ac:dyDescent="0.3">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row>
    <row r="207" spans="2:42" ht="13" x14ac:dyDescent="0.3">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row>
    <row r="208" spans="2:42" ht="13" x14ac:dyDescent="0.3">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row>
    <row r="209" spans="2:42" ht="13" x14ac:dyDescent="0.3">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row>
    <row r="210" spans="2:42" ht="13" x14ac:dyDescent="0.3">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row>
    <row r="211" spans="2:42" ht="13" x14ac:dyDescent="0.3">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row>
    <row r="212" spans="2:42" ht="13" x14ac:dyDescent="0.3">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row>
    <row r="213" spans="2:42" ht="13" x14ac:dyDescent="0.3">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row>
    <row r="214" spans="2:42" ht="13" x14ac:dyDescent="0.3">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row>
    <row r="215" spans="2:42" ht="13" x14ac:dyDescent="0.3">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row>
    <row r="216" spans="2:42" ht="13" x14ac:dyDescent="0.3">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row>
    <row r="217" spans="2:42" ht="13" x14ac:dyDescent="0.3">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row>
    <row r="218" spans="2:42" ht="13" x14ac:dyDescent="0.3">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row>
    <row r="219" spans="2:42" ht="13" x14ac:dyDescent="0.3">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row>
    <row r="220" spans="2:42" ht="13" x14ac:dyDescent="0.3">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row>
    <row r="221" spans="2:42" ht="13" x14ac:dyDescent="0.3">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row>
    <row r="222" spans="2:42" ht="13" x14ac:dyDescent="0.3">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row>
    <row r="223" spans="2:42" ht="13" x14ac:dyDescent="0.3">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row>
    <row r="224" spans="2:42" ht="13" x14ac:dyDescent="0.3">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row>
    <row r="225" spans="2:42" ht="13" x14ac:dyDescent="0.3">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row>
    <row r="226" spans="2:42" ht="13" x14ac:dyDescent="0.3">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row>
    <row r="227" spans="2:42" ht="13" x14ac:dyDescent="0.3">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row>
    <row r="228" spans="2:42" ht="13" x14ac:dyDescent="0.3">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row>
    <row r="229" spans="2:42" ht="13" x14ac:dyDescent="0.3">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row>
    <row r="230" spans="2:42" ht="13" x14ac:dyDescent="0.3">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row>
    <row r="231" spans="2:42" ht="13" x14ac:dyDescent="0.3">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row>
    <row r="232" spans="2:42" ht="13" x14ac:dyDescent="0.3">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row>
    <row r="233" spans="2:42" ht="13" x14ac:dyDescent="0.3">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row>
    <row r="234" spans="2:42" ht="13" x14ac:dyDescent="0.3">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row>
    <row r="235" spans="2:42" ht="13" x14ac:dyDescent="0.3">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row>
    <row r="236" spans="2:42" ht="13" x14ac:dyDescent="0.3">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row>
    <row r="237" spans="2:42" ht="13" x14ac:dyDescent="0.3">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row>
    <row r="238" spans="2:42" ht="13" x14ac:dyDescent="0.3">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row>
    <row r="239" spans="2:42" ht="13" x14ac:dyDescent="0.3">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row>
    <row r="240" spans="2:42" ht="13" x14ac:dyDescent="0.3">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row>
    <row r="241" spans="2:42" ht="13" x14ac:dyDescent="0.3">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row>
    <row r="242" spans="2:42" ht="13" x14ac:dyDescent="0.3">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row>
    <row r="243" spans="2:42" ht="13" x14ac:dyDescent="0.3">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row>
    <row r="244" spans="2:42" ht="13" x14ac:dyDescent="0.3">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row>
    <row r="245" spans="2:42" ht="13" x14ac:dyDescent="0.3">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row>
    <row r="246" spans="2:42" ht="13" x14ac:dyDescent="0.3">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row>
    <row r="247" spans="2:42" ht="13" x14ac:dyDescent="0.3">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row>
    <row r="248" spans="2:42" ht="13" x14ac:dyDescent="0.3">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row>
    <row r="249" spans="2:42" ht="13" x14ac:dyDescent="0.3">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row>
    <row r="250" spans="2:42" ht="13" x14ac:dyDescent="0.3">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row>
    <row r="251" spans="2:42" ht="13" x14ac:dyDescent="0.3">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row>
    <row r="252" spans="2:42" ht="13" x14ac:dyDescent="0.3">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row>
    <row r="253" spans="2:42" ht="13" x14ac:dyDescent="0.3">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row>
    <row r="254" spans="2:42" ht="13" x14ac:dyDescent="0.3">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row>
    <row r="255" spans="2:42" ht="13" x14ac:dyDescent="0.3">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row>
    <row r="256" spans="2:42" ht="13" x14ac:dyDescent="0.3">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row>
    <row r="257" spans="2:42" ht="13" x14ac:dyDescent="0.3">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row>
    <row r="258" spans="2:42" ht="13" x14ac:dyDescent="0.3">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row>
    <row r="259" spans="2:42" ht="13" x14ac:dyDescent="0.3">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row>
    <row r="260" spans="2:42" ht="13" x14ac:dyDescent="0.3">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row>
    <row r="261" spans="2:42" ht="13" x14ac:dyDescent="0.3">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row>
    <row r="262" spans="2:42" ht="13" x14ac:dyDescent="0.3">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row>
    <row r="263" spans="2:42" ht="13" x14ac:dyDescent="0.3">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row>
    <row r="264" spans="2:42" ht="13" x14ac:dyDescent="0.3">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row>
    <row r="265" spans="2:42" ht="13" x14ac:dyDescent="0.3">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row>
    <row r="266" spans="2:42" ht="13" x14ac:dyDescent="0.3">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row>
    <row r="267" spans="2:42" ht="13" x14ac:dyDescent="0.3">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row>
    <row r="268" spans="2:42" ht="13" x14ac:dyDescent="0.3">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row>
    <row r="269" spans="2:42" ht="13" x14ac:dyDescent="0.3">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row>
    <row r="270" spans="2:42" ht="13" x14ac:dyDescent="0.3">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row>
    <row r="271" spans="2:42" ht="13" x14ac:dyDescent="0.3">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row>
    <row r="272" spans="2:42" ht="13" x14ac:dyDescent="0.3">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row>
    <row r="273" spans="2:42" ht="13" x14ac:dyDescent="0.3">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row>
    <row r="274" spans="2:42" ht="13" x14ac:dyDescent="0.3">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row>
    <row r="275" spans="2:42" ht="13" x14ac:dyDescent="0.3">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row>
    <row r="276" spans="2:42" ht="13" x14ac:dyDescent="0.3">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row>
    <row r="277" spans="2:42" ht="13" x14ac:dyDescent="0.3">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row>
    <row r="278" spans="2:42" ht="13" x14ac:dyDescent="0.3">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row>
    <row r="279" spans="2:42" ht="13" x14ac:dyDescent="0.3">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row>
    <row r="280" spans="2:42" ht="13" x14ac:dyDescent="0.3">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row>
    <row r="281" spans="2:42" ht="13" x14ac:dyDescent="0.3">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row>
    <row r="282" spans="2:42" ht="13" x14ac:dyDescent="0.3">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row>
    <row r="283" spans="2:42" ht="13" x14ac:dyDescent="0.3">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row>
    <row r="284" spans="2:42" ht="13" x14ac:dyDescent="0.3">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row>
    <row r="285" spans="2:42" ht="13" x14ac:dyDescent="0.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row>
    <row r="286" spans="2:42" ht="13" x14ac:dyDescent="0.3">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row>
    <row r="287" spans="2:42" ht="13" x14ac:dyDescent="0.3">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row>
    <row r="288" spans="2:42" ht="13" x14ac:dyDescent="0.3">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row>
    <row r="289" spans="2:42" ht="13" x14ac:dyDescent="0.3">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row>
    <row r="290" spans="2:42" ht="13" x14ac:dyDescent="0.3">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row>
    <row r="291" spans="2:42" ht="13" x14ac:dyDescent="0.3">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row>
    <row r="292" spans="2:42" ht="13" x14ac:dyDescent="0.3">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row>
    <row r="293" spans="2:42" ht="13" x14ac:dyDescent="0.3">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row>
    <row r="294" spans="2:42" ht="13" x14ac:dyDescent="0.3">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row>
    <row r="295" spans="2:42" ht="13" x14ac:dyDescent="0.3">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row>
    <row r="296" spans="2:42" ht="13" x14ac:dyDescent="0.3">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row>
    <row r="297" spans="2:42" ht="13" x14ac:dyDescent="0.3">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row>
    <row r="298" spans="2:42" ht="13" x14ac:dyDescent="0.3">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row>
    <row r="299" spans="2:42" ht="13" x14ac:dyDescent="0.3">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row>
    <row r="300" spans="2:42" ht="13" x14ac:dyDescent="0.3">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row>
    <row r="301" spans="2:42" ht="13" x14ac:dyDescent="0.3">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row>
    <row r="302" spans="2:42" ht="13" x14ac:dyDescent="0.3">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row>
    <row r="303" spans="2:42" ht="13" x14ac:dyDescent="0.3">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row>
    <row r="304" spans="2:42" ht="13" x14ac:dyDescent="0.3">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row>
    <row r="305" spans="2:42" ht="13" x14ac:dyDescent="0.3">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row>
    <row r="306" spans="2:42" ht="13" x14ac:dyDescent="0.3">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row>
    <row r="307" spans="2:42" ht="13" x14ac:dyDescent="0.3">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row>
    <row r="308" spans="2:42" ht="13" x14ac:dyDescent="0.3">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row>
    <row r="309" spans="2:42" ht="13" x14ac:dyDescent="0.3">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row>
    <row r="310" spans="2:42" ht="13" x14ac:dyDescent="0.3">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row>
    <row r="311" spans="2:42" ht="13" x14ac:dyDescent="0.3">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row>
    <row r="312" spans="2:42" ht="13" x14ac:dyDescent="0.3">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row>
    <row r="313" spans="2:42" ht="13" x14ac:dyDescent="0.3">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row>
    <row r="314" spans="2:42" ht="13" x14ac:dyDescent="0.3">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row>
    <row r="315" spans="2:42" ht="13" x14ac:dyDescent="0.3">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row>
    <row r="316" spans="2:42" ht="13" x14ac:dyDescent="0.3">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row>
    <row r="317" spans="2:42" ht="13" x14ac:dyDescent="0.3">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row>
    <row r="318" spans="2:42" ht="13" x14ac:dyDescent="0.3">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row>
    <row r="319" spans="2:42" ht="13" x14ac:dyDescent="0.3">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row>
    <row r="320" spans="2:42" ht="13" x14ac:dyDescent="0.3">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row>
    <row r="321" spans="2:42" ht="13" x14ac:dyDescent="0.3">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row>
    <row r="322" spans="2:42" ht="13" x14ac:dyDescent="0.3">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row>
    <row r="323" spans="2:42" ht="13" x14ac:dyDescent="0.3">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row>
    <row r="324" spans="2:42" ht="13" x14ac:dyDescent="0.3">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row>
    <row r="325" spans="2:42" ht="13" x14ac:dyDescent="0.3">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row>
    <row r="326" spans="2:42" ht="13" x14ac:dyDescent="0.3">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row>
    <row r="327" spans="2:42" ht="13" x14ac:dyDescent="0.3">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row>
    <row r="328" spans="2:42" ht="13" x14ac:dyDescent="0.3">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row>
    <row r="329" spans="2:42" ht="13" x14ac:dyDescent="0.3">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row>
    <row r="330" spans="2:42" ht="13" x14ac:dyDescent="0.3">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row>
    <row r="331" spans="2:42" ht="13" x14ac:dyDescent="0.3">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row>
    <row r="332" spans="2:42" ht="13" x14ac:dyDescent="0.3">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row>
    <row r="333" spans="2:42" ht="13" x14ac:dyDescent="0.3">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row>
    <row r="334" spans="2:42" ht="13" x14ac:dyDescent="0.3">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row>
    <row r="335" spans="2:42" ht="13" x14ac:dyDescent="0.3">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row>
    <row r="336" spans="2:42" ht="13" x14ac:dyDescent="0.3">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row>
    <row r="337" spans="2:42" ht="13" x14ac:dyDescent="0.3">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row>
    <row r="338" spans="2:42" ht="13" x14ac:dyDescent="0.3">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row>
    <row r="339" spans="2:42" ht="13" x14ac:dyDescent="0.3">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row>
    <row r="340" spans="2:42" ht="13" x14ac:dyDescent="0.3">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row>
    <row r="341" spans="2:42" ht="13" x14ac:dyDescent="0.3">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row>
    <row r="342" spans="2:42" ht="13" x14ac:dyDescent="0.3">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row>
    <row r="343" spans="2:42" ht="13" x14ac:dyDescent="0.3">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row>
    <row r="344" spans="2:42" ht="13" x14ac:dyDescent="0.3">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row>
    <row r="345" spans="2:42" ht="13" x14ac:dyDescent="0.3">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row>
    <row r="346" spans="2:42" ht="13" x14ac:dyDescent="0.3">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row>
    <row r="347" spans="2:42" ht="13" x14ac:dyDescent="0.3">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row>
    <row r="348" spans="2:42" ht="13" x14ac:dyDescent="0.3">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row>
    <row r="349" spans="2:42" ht="13" x14ac:dyDescent="0.3">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row>
    <row r="350" spans="2:42" ht="13" x14ac:dyDescent="0.3">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row>
    <row r="351" spans="2:42" ht="13" x14ac:dyDescent="0.3">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row>
    <row r="352" spans="2:42" ht="13" x14ac:dyDescent="0.3">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row>
    <row r="353" spans="2:42" ht="13" x14ac:dyDescent="0.3">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row>
    <row r="354" spans="2:42" ht="13" x14ac:dyDescent="0.3">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row>
    <row r="355" spans="2:42" ht="13" x14ac:dyDescent="0.3">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row>
    <row r="356" spans="2:42" ht="13" x14ac:dyDescent="0.3">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row>
    <row r="357" spans="2:42" ht="13" x14ac:dyDescent="0.3">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row>
    <row r="358" spans="2:42" ht="13" x14ac:dyDescent="0.3">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row>
    <row r="359" spans="2:42" ht="13" x14ac:dyDescent="0.3">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row>
    <row r="360" spans="2:42" ht="13" x14ac:dyDescent="0.3">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row>
    <row r="361" spans="2:42" ht="13" x14ac:dyDescent="0.3">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row>
    <row r="362" spans="2:42" ht="13" x14ac:dyDescent="0.3">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row>
    <row r="363" spans="2:42" ht="13" x14ac:dyDescent="0.3">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row>
    <row r="364" spans="2:42" ht="13" x14ac:dyDescent="0.3">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row>
    <row r="365" spans="2:42" ht="13" x14ac:dyDescent="0.3">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row>
    <row r="366" spans="2:42" ht="13" x14ac:dyDescent="0.3">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row>
    <row r="367" spans="2:42" ht="13" x14ac:dyDescent="0.3">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row>
    <row r="368" spans="2:42" ht="13" x14ac:dyDescent="0.3">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row>
    <row r="369" spans="2:42" ht="13" x14ac:dyDescent="0.3">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row>
    <row r="370" spans="2:42" ht="13" x14ac:dyDescent="0.3">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row>
    <row r="371" spans="2:42" ht="13" x14ac:dyDescent="0.3">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row>
    <row r="372" spans="2:42" ht="13" x14ac:dyDescent="0.3">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row>
    <row r="373" spans="2:42" ht="13" x14ac:dyDescent="0.3">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row>
    <row r="374" spans="2:42" ht="13" x14ac:dyDescent="0.3">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row>
    <row r="375" spans="2:42" ht="13" x14ac:dyDescent="0.3">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row>
    <row r="376" spans="2:42" ht="13" x14ac:dyDescent="0.3">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row>
    <row r="377" spans="2:42" ht="13" x14ac:dyDescent="0.3">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row>
    <row r="378" spans="2:42" ht="13" x14ac:dyDescent="0.3">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row>
    <row r="379" spans="2:42" ht="13" x14ac:dyDescent="0.3">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row>
    <row r="380" spans="2:42" ht="13" x14ac:dyDescent="0.3">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row>
    <row r="381" spans="2:42" ht="13" x14ac:dyDescent="0.3">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row>
    <row r="382" spans="2:42" ht="13" x14ac:dyDescent="0.3">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row>
    <row r="383" spans="2:42" ht="13" x14ac:dyDescent="0.3">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row>
    <row r="384" spans="2:42" ht="13" x14ac:dyDescent="0.3">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row>
    <row r="385" spans="2:42" ht="13" x14ac:dyDescent="0.3">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row>
    <row r="386" spans="2:42" ht="13" x14ac:dyDescent="0.3">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row>
    <row r="387" spans="2:42" ht="13" x14ac:dyDescent="0.3">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row>
    <row r="388" spans="2:42" ht="13" x14ac:dyDescent="0.3">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row>
    <row r="389" spans="2:42" ht="13" x14ac:dyDescent="0.3">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row>
    <row r="390" spans="2:42" ht="13" x14ac:dyDescent="0.3">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row>
    <row r="391" spans="2:42" ht="13" x14ac:dyDescent="0.3">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row>
    <row r="392" spans="2:42" ht="13" x14ac:dyDescent="0.3">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row>
    <row r="393" spans="2:42" ht="13" x14ac:dyDescent="0.3">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row>
    <row r="394" spans="2:42" ht="13" x14ac:dyDescent="0.3">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row>
    <row r="395" spans="2:42" ht="13" x14ac:dyDescent="0.3">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row>
    <row r="396" spans="2:42" ht="13" x14ac:dyDescent="0.3">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row>
    <row r="397" spans="2:42" ht="13" x14ac:dyDescent="0.3">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row>
    <row r="398" spans="2:42" ht="13" x14ac:dyDescent="0.3">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row>
    <row r="399" spans="2:42" ht="13" x14ac:dyDescent="0.3">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row>
    <row r="400" spans="2:42" ht="13" x14ac:dyDescent="0.3">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row>
    <row r="401" spans="2:42" ht="13" x14ac:dyDescent="0.3">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row>
    <row r="402" spans="2:42" ht="13" x14ac:dyDescent="0.3">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row>
    <row r="403" spans="2:42" ht="13" x14ac:dyDescent="0.3">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row>
    <row r="404" spans="2:42" ht="13" x14ac:dyDescent="0.3">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row>
    <row r="405" spans="2:42" ht="13" x14ac:dyDescent="0.3">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row>
    <row r="406" spans="2:42" ht="13" x14ac:dyDescent="0.3">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row>
    <row r="407" spans="2:42" ht="13" x14ac:dyDescent="0.3">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row>
    <row r="408" spans="2:42" ht="13" x14ac:dyDescent="0.3">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row>
    <row r="409" spans="2:42" ht="13" x14ac:dyDescent="0.3">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row>
    <row r="410" spans="2:42" ht="13" x14ac:dyDescent="0.3">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row>
    <row r="411" spans="2:42" ht="13" x14ac:dyDescent="0.3">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row>
    <row r="412" spans="2:42" ht="13" x14ac:dyDescent="0.3">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row>
    <row r="413" spans="2:42" ht="13" x14ac:dyDescent="0.3">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row>
    <row r="414" spans="2:42" ht="13" x14ac:dyDescent="0.3">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row>
    <row r="415" spans="2:42" ht="13" x14ac:dyDescent="0.3">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row>
    <row r="416" spans="2:42" ht="13" x14ac:dyDescent="0.3">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row>
    <row r="417" spans="2:42" ht="13" x14ac:dyDescent="0.3">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row>
    <row r="418" spans="2:42" ht="13" x14ac:dyDescent="0.3">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row>
    <row r="419" spans="2:42" ht="13" x14ac:dyDescent="0.3">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row>
    <row r="420" spans="2:42" ht="13" x14ac:dyDescent="0.3">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row>
    <row r="421" spans="2:42" ht="13" x14ac:dyDescent="0.3">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row>
    <row r="422" spans="2:42" ht="13" x14ac:dyDescent="0.3">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row>
    <row r="423" spans="2:42" ht="13" x14ac:dyDescent="0.3">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row>
    <row r="424" spans="2:42" ht="13" x14ac:dyDescent="0.3">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row>
    <row r="425" spans="2:42" ht="13" x14ac:dyDescent="0.3">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row>
    <row r="426" spans="2:42" ht="13" x14ac:dyDescent="0.3">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row>
    <row r="427" spans="2:42" ht="13" x14ac:dyDescent="0.3">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row>
    <row r="428" spans="2:42" ht="13" x14ac:dyDescent="0.3">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row>
    <row r="429" spans="2:42" ht="13" x14ac:dyDescent="0.3">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row>
    <row r="430" spans="2:42" ht="13" x14ac:dyDescent="0.3">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row>
    <row r="431" spans="2:42" ht="13" x14ac:dyDescent="0.3">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row>
    <row r="432" spans="2:42" ht="13" x14ac:dyDescent="0.3">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row>
    <row r="433" spans="2:42" ht="13" x14ac:dyDescent="0.3">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row>
    <row r="434" spans="2:42" ht="13" x14ac:dyDescent="0.3">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row>
    <row r="435" spans="2:42" ht="13" x14ac:dyDescent="0.3">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row>
    <row r="436" spans="2:42" ht="13" x14ac:dyDescent="0.3">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row>
    <row r="437" spans="2:42" ht="13" x14ac:dyDescent="0.3">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row>
    <row r="438" spans="2:42" ht="13" x14ac:dyDescent="0.3">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row>
    <row r="439" spans="2:42" ht="13" x14ac:dyDescent="0.3">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row>
    <row r="440" spans="2:42" ht="13" x14ac:dyDescent="0.3">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row>
    <row r="441" spans="2:42" ht="13" x14ac:dyDescent="0.3">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row>
    <row r="442" spans="2:42" ht="13" x14ac:dyDescent="0.3">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row>
    <row r="443" spans="2:42" ht="13" x14ac:dyDescent="0.3">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row>
    <row r="444" spans="2:42" ht="13" x14ac:dyDescent="0.3">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row>
    <row r="445" spans="2:42" ht="13" x14ac:dyDescent="0.3">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row>
    <row r="446" spans="2:42" ht="13" x14ac:dyDescent="0.3">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row>
    <row r="447" spans="2:42" ht="13" x14ac:dyDescent="0.3">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row>
    <row r="448" spans="2:42" ht="13" x14ac:dyDescent="0.3">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row>
    <row r="449" spans="2:42" ht="13" x14ac:dyDescent="0.3">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row>
    <row r="450" spans="2:42" ht="13" x14ac:dyDescent="0.3">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row>
    <row r="451" spans="2:42" ht="13" x14ac:dyDescent="0.3">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row>
    <row r="452" spans="2:42" ht="13" x14ac:dyDescent="0.3">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row>
    <row r="453" spans="2:42" ht="13" x14ac:dyDescent="0.3">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row>
    <row r="454" spans="2:42" ht="13" x14ac:dyDescent="0.3">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row>
    <row r="455" spans="2:42" ht="13" x14ac:dyDescent="0.3">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row>
    <row r="456" spans="2:42" ht="13" x14ac:dyDescent="0.3">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row>
    <row r="457" spans="2:42" ht="13" x14ac:dyDescent="0.3">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row>
    <row r="458" spans="2:42" ht="13" x14ac:dyDescent="0.3">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row>
    <row r="459" spans="2:42" ht="13" x14ac:dyDescent="0.3">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row>
    <row r="460" spans="2:42" ht="13" x14ac:dyDescent="0.3">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row>
    <row r="461" spans="2:42" ht="13" x14ac:dyDescent="0.3">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row>
    <row r="462" spans="2:42" ht="13" x14ac:dyDescent="0.3">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row>
    <row r="463" spans="2:42" ht="13" x14ac:dyDescent="0.3">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row>
    <row r="464" spans="2:42" ht="13" x14ac:dyDescent="0.3">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row>
    <row r="465" spans="2:42" ht="13" x14ac:dyDescent="0.3">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row>
    <row r="466" spans="2:42" ht="13" x14ac:dyDescent="0.3">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row>
    <row r="467" spans="2:42" ht="13" x14ac:dyDescent="0.3">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row>
    <row r="468" spans="2:42" ht="13" x14ac:dyDescent="0.3">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row>
    <row r="469" spans="2:42" ht="13" x14ac:dyDescent="0.3">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row>
    <row r="470" spans="2:42" ht="13" x14ac:dyDescent="0.3">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row>
    <row r="471" spans="2:42" ht="13" x14ac:dyDescent="0.3">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row>
    <row r="472" spans="2:42" ht="13" x14ac:dyDescent="0.3">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row>
    <row r="473" spans="2:42" ht="13" x14ac:dyDescent="0.3">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row>
    <row r="474" spans="2:42" ht="13" x14ac:dyDescent="0.3">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row>
    <row r="475" spans="2:42" ht="13" x14ac:dyDescent="0.3">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row>
    <row r="476" spans="2:42" ht="13" x14ac:dyDescent="0.3">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row>
    <row r="477" spans="2:42" ht="13" x14ac:dyDescent="0.3">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row>
    <row r="478" spans="2:42" ht="13" x14ac:dyDescent="0.3">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row>
    <row r="479" spans="2:42" ht="13" x14ac:dyDescent="0.3">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row>
    <row r="480" spans="2:42" ht="13" x14ac:dyDescent="0.3">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row>
    <row r="481" spans="2:42" ht="13" x14ac:dyDescent="0.3">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row>
    <row r="482" spans="2:42" ht="13" x14ac:dyDescent="0.3">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row>
    <row r="483" spans="2:42" ht="13" x14ac:dyDescent="0.3">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row>
    <row r="484" spans="2:42" ht="13" x14ac:dyDescent="0.3">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row>
    <row r="485" spans="2:42" ht="13" x14ac:dyDescent="0.3">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row>
    <row r="486" spans="2:42" ht="13" x14ac:dyDescent="0.3">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row>
    <row r="487" spans="2:42" ht="13" x14ac:dyDescent="0.3">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row>
    <row r="488" spans="2:42" ht="13" x14ac:dyDescent="0.3">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row>
    <row r="489" spans="2:42" ht="13" x14ac:dyDescent="0.3">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row>
    <row r="490" spans="2:42" ht="13" x14ac:dyDescent="0.3">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row>
    <row r="491" spans="2:42" ht="13" x14ac:dyDescent="0.3">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row>
    <row r="492" spans="2:42" ht="13" x14ac:dyDescent="0.3">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row>
    <row r="493" spans="2:42" ht="13" x14ac:dyDescent="0.3">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row>
    <row r="494" spans="2:42" ht="13" x14ac:dyDescent="0.3">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row>
    <row r="495" spans="2:42" ht="13" x14ac:dyDescent="0.3">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row>
    <row r="496" spans="2:42" ht="13" x14ac:dyDescent="0.3">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row>
    <row r="497" spans="2:42" ht="13" x14ac:dyDescent="0.3">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row>
    <row r="498" spans="2:42" ht="13" x14ac:dyDescent="0.3">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row>
    <row r="499" spans="2:42" ht="13" x14ac:dyDescent="0.3">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row>
    <row r="500" spans="2:42" ht="13" x14ac:dyDescent="0.3">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row>
    <row r="501" spans="2:42" ht="13" x14ac:dyDescent="0.3">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row>
    <row r="502" spans="2:42" ht="13" x14ac:dyDescent="0.3">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row>
    <row r="503" spans="2:42" ht="13" x14ac:dyDescent="0.3">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row>
    <row r="504" spans="2:42" ht="13" x14ac:dyDescent="0.3">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row>
    <row r="505" spans="2:42" ht="13" x14ac:dyDescent="0.3">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row>
    <row r="506" spans="2:42" ht="13" x14ac:dyDescent="0.3">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row>
    <row r="507" spans="2:42" ht="13" x14ac:dyDescent="0.3">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row>
    <row r="508" spans="2:42" ht="13" x14ac:dyDescent="0.3">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row>
    <row r="509" spans="2:42" ht="13" x14ac:dyDescent="0.3">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row>
    <row r="510" spans="2:42" ht="13" x14ac:dyDescent="0.3">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row>
    <row r="511" spans="2:42" ht="13" x14ac:dyDescent="0.3">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row>
    <row r="512" spans="2:42" ht="13" x14ac:dyDescent="0.3">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row>
    <row r="513" spans="2:42" ht="13" x14ac:dyDescent="0.3">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row>
    <row r="514" spans="2:42" ht="13" x14ac:dyDescent="0.3">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row>
    <row r="515" spans="2:42" ht="13" x14ac:dyDescent="0.3">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row>
    <row r="516" spans="2:42" ht="13" x14ac:dyDescent="0.3">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row>
    <row r="517" spans="2:42" ht="13" x14ac:dyDescent="0.3">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row>
    <row r="518" spans="2:42" ht="13" x14ac:dyDescent="0.3">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row>
    <row r="519" spans="2:42" ht="13" x14ac:dyDescent="0.3">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row>
    <row r="520" spans="2:42" ht="13" x14ac:dyDescent="0.3">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row>
    <row r="521" spans="2:42" ht="13" x14ac:dyDescent="0.3">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row>
    <row r="522" spans="2:42" ht="13" x14ac:dyDescent="0.3">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row>
    <row r="523" spans="2:42" ht="13" x14ac:dyDescent="0.3">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row>
    <row r="524" spans="2:42" ht="13" x14ac:dyDescent="0.3">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row>
    <row r="525" spans="2:42" ht="13" x14ac:dyDescent="0.3">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row>
    <row r="526" spans="2:42" ht="13" x14ac:dyDescent="0.3">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row>
    <row r="527" spans="2:42" ht="13" x14ac:dyDescent="0.3">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row>
    <row r="528" spans="2:42" ht="13" x14ac:dyDescent="0.3">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row>
    <row r="529" spans="2:42" ht="13" x14ac:dyDescent="0.3">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row>
    <row r="530" spans="2:42" ht="13" x14ac:dyDescent="0.3">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row>
    <row r="531" spans="2:42" ht="13" x14ac:dyDescent="0.3">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row>
    <row r="532" spans="2:42" ht="13" x14ac:dyDescent="0.3">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row>
    <row r="533" spans="2:42" ht="13" x14ac:dyDescent="0.3">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row>
    <row r="534" spans="2:42" ht="13" x14ac:dyDescent="0.3">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row>
    <row r="535" spans="2:42" ht="13" x14ac:dyDescent="0.3">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row>
    <row r="536" spans="2:42" ht="13" x14ac:dyDescent="0.3">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row>
    <row r="537" spans="2:42" ht="13" x14ac:dyDescent="0.3">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row>
    <row r="538" spans="2:42" ht="13" x14ac:dyDescent="0.3">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row>
    <row r="539" spans="2:42" ht="13" x14ac:dyDescent="0.3">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row>
    <row r="540" spans="2:42" ht="13" x14ac:dyDescent="0.3">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row>
    <row r="541" spans="2:42" ht="13" x14ac:dyDescent="0.3">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row>
    <row r="542" spans="2:42" ht="13" x14ac:dyDescent="0.3">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row>
    <row r="543" spans="2:42" ht="13" x14ac:dyDescent="0.3">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row>
    <row r="544" spans="2:42" ht="13" x14ac:dyDescent="0.3">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row>
    <row r="545" spans="2:42" ht="13" x14ac:dyDescent="0.3">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row>
    <row r="546" spans="2:42" ht="13" x14ac:dyDescent="0.3">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row>
    <row r="547" spans="2:42" ht="13" x14ac:dyDescent="0.3">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row>
    <row r="548" spans="2:42" ht="13" x14ac:dyDescent="0.3">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row>
    <row r="549" spans="2:42" ht="13" x14ac:dyDescent="0.3">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row>
    <row r="550" spans="2:42" ht="13" x14ac:dyDescent="0.3">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row>
    <row r="551" spans="2:42" ht="13" x14ac:dyDescent="0.3">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row>
    <row r="552" spans="2:42" ht="13" x14ac:dyDescent="0.3">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row>
    <row r="553" spans="2:42" ht="13" x14ac:dyDescent="0.3">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row>
    <row r="554" spans="2:42" ht="13" x14ac:dyDescent="0.3">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row>
    <row r="555" spans="2:42" ht="13" x14ac:dyDescent="0.3">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row>
    <row r="556" spans="2:42" ht="13" x14ac:dyDescent="0.3">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row>
    <row r="557" spans="2:42" ht="13" x14ac:dyDescent="0.3">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row>
    <row r="558" spans="2:42" ht="13" x14ac:dyDescent="0.3">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row>
    <row r="559" spans="2:42" ht="13" x14ac:dyDescent="0.3">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row>
    <row r="560" spans="2:42" ht="13" x14ac:dyDescent="0.3">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row>
    <row r="561" spans="2:42" ht="13" x14ac:dyDescent="0.3">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row>
    <row r="562" spans="2:42" ht="13" x14ac:dyDescent="0.3">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row>
    <row r="563" spans="2:42" ht="13" x14ac:dyDescent="0.3">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row>
    <row r="564" spans="2:42" ht="13" x14ac:dyDescent="0.3">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row>
    <row r="565" spans="2:42" ht="13" x14ac:dyDescent="0.3">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row>
    <row r="566" spans="2:42" ht="13" x14ac:dyDescent="0.3">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row>
    <row r="567" spans="2:42" ht="13" x14ac:dyDescent="0.3">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row>
    <row r="568" spans="2:42" ht="13" x14ac:dyDescent="0.3">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row>
    <row r="569" spans="2:42" ht="13" x14ac:dyDescent="0.3">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row>
    <row r="570" spans="2:42" ht="13" x14ac:dyDescent="0.3">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row>
    <row r="571" spans="2:42" ht="13" x14ac:dyDescent="0.3">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row>
    <row r="572" spans="2:42" ht="13" x14ac:dyDescent="0.3">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row>
    <row r="573" spans="2:42" ht="13" x14ac:dyDescent="0.3">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row>
    <row r="574" spans="2:42" ht="13" x14ac:dyDescent="0.3">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row>
    <row r="575" spans="2:42" ht="13" x14ac:dyDescent="0.3">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row>
    <row r="576" spans="2:42" ht="13" x14ac:dyDescent="0.3">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row>
    <row r="577" spans="2:42" ht="13" x14ac:dyDescent="0.3">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row>
    <row r="578" spans="2:42" ht="13" x14ac:dyDescent="0.3">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row>
    <row r="579" spans="2:42" ht="13" x14ac:dyDescent="0.3">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row>
    <row r="580" spans="2:42" ht="13" x14ac:dyDescent="0.3">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row>
    <row r="581" spans="2:42" ht="13" x14ac:dyDescent="0.3">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row>
    <row r="582" spans="2:42" ht="13" x14ac:dyDescent="0.3">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row>
    <row r="583" spans="2:42" ht="13" x14ac:dyDescent="0.3">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row>
    <row r="584" spans="2:42" ht="13" x14ac:dyDescent="0.3">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row>
    <row r="585" spans="2:42" ht="13" x14ac:dyDescent="0.3">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row>
    <row r="586" spans="2:42" ht="13" x14ac:dyDescent="0.3">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row>
    <row r="587" spans="2:42" ht="13" x14ac:dyDescent="0.3">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row>
    <row r="588" spans="2:42" ht="13" x14ac:dyDescent="0.3">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row>
    <row r="589" spans="2:42" ht="13" x14ac:dyDescent="0.3">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row>
    <row r="590" spans="2:42" ht="13" x14ac:dyDescent="0.3">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row>
    <row r="591" spans="2:42" ht="13" x14ac:dyDescent="0.3">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row>
    <row r="592" spans="2:42" ht="13" x14ac:dyDescent="0.3">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row>
    <row r="593" spans="2:42" ht="13" x14ac:dyDescent="0.3">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row>
    <row r="594" spans="2:42" ht="13" x14ac:dyDescent="0.3">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row>
    <row r="595" spans="2:42" ht="13" x14ac:dyDescent="0.3">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row>
    <row r="596" spans="2:42" ht="13" x14ac:dyDescent="0.3">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row>
    <row r="597" spans="2:42" ht="13" x14ac:dyDescent="0.3">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row>
    <row r="598" spans="2:42" ht="13" x14ac:dyDescent="0.3">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row>
    <row r="599" spans="2:42" ht="13" x14ac:dyDescent="0.3">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row>
    <row r="600" spans="2:42" ht="13" x14ac:dyDescent="0.3">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row>
    <row r="601" spans="2:42" ht="13" x14ac:dyDescent="0.3">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row>
    <row r="602" spans="2:42" ht="13" x14ac:dyDescent="0.3">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row>
    <row r="603" spans="2:42" ht="13" x14ac:dyDescent="0.3">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row>
    <row r="604" spans="2:42" ht="13" x14ac:dyDescent="0.3">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row>
    <row r="605" spans="2:42" ht="13" x14ac:dyDescent="0.3">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row>
    <row r="606" spans="2:42" ht="13" x14ac:dyDescent="0.3">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row>
    <row r="607" spans="2:42" ht="13" x14ac:dyDescent="0.3">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row>
    <row r="608" spans="2:42" ht="13" x14ac:dyDescent="0.3">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row>
    <row r="609" spans="2:42" ht="13" x14ac:dyDescent="0.3">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row>
    <row r="610" spans="2:42" ht="13" x14ac:dyDescent="0.3">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row>
    <row r="611" spans="2:42" ht="13" x14ac:dyDescent="0.3">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row>
    <row r="612" spans="2:42" ht="13" x14ac:dyDescent="0.3">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row>
    <row r="613" spans="2:42" ht="13" x14ac:dyDescent="0.3">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row>
    <row r="614" spans="2:42" ht="13" x14ac:dyDescent="0.3">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row>
    <row r="615" spans="2:42" ht="13" x14ac:dyDescent="0.3">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row>
    <row r="616" spans="2:42" ht="13" x14ac:dyDescent="0.3">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row>
    <row r="617" spans="2:42" ht="13" x14ac:dyDescent="0.3">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row>
    <row r="618" spans="2:42" ht="13" x14ac:dyDescent="0.3">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row>
    <row r="619" spans="2:42" ht="13" x14ac:dyDescent="0.3">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row>
    <row r="620" spans="2:42" ht="13" x14ac:dyDescent="0.3">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row>
    <row r="621" spans="2:42" ht="13" x14ac:dyDescent="0.3">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row>
    <row r="622" spans="2:42" ht="13" x14ac:dyDescent="0.3">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row>
    <row r="623" spans="2:42" ht="13" x14ac:dyDescent="0.3">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row>
    <row r="624" spans="2:42" ht="13" x14ac:dyDescent="0.3">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row>
    <row r="625" spans="2:42" ht="13" x14ac:dyDescent="0.3">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row>
    <row r="626" spans="2:42" ht="13" x14ac:dyDescent="0.3">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row>
    <row r="627" spans="2:42" ht="13" x14ac:dyDescent="0.3">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row>
    <row r="628" spans="2:42" ht="13" x14ac:dyDescent="0.3">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row>
    <row r="629" spans="2:42" ht="13" x14ac:dyDescent="0.3">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row>
    <row r="630" spans="2:42" ht="13" x14ac:dyDescent="0.3">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row>
    <row r="631" spans="2:42" ht="13" x14ac:dyDescent="0.3">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row>
    <row r="632" spans="2:42" ht="13" x14ac:dyDescent="0.3">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row>
    <row r="633" spans="2:42" ht="13" x14ac:dyDescent="0.3">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row>
    <row r="634" spans="2:42" ht="13" x14ac:dyDescent="0.3">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row>
    <row r="635" spans="2:42" ht="13" x14ac:dyDescent="0.3">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row>
    <row r="636" spans="2:42" ht="13" x14ac:dyDescent="0.3">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row>
    <row r="637" spans="2:42" ht="13" x14ac:dyDescent="0.3">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row>
    <row r="638" spans="2:42" ht="13" x14ac:dyDescent="0.3">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row>
    <row r="639" spans="2:42" ht="13" x14ac:dyDescent="0.3">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row>
    <row r="640" spans="2:42" ht="13" x14ac:dyDescent="0.3">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row>
    <row r="641" spans="2:42" ht="13" x14ac:dyDescent="0.3">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row>
    <row r="642" spans="2:42" ht="13" x14ac:dyDescent="0.3">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row>
    <row r="643" spans="2:42" ht="13" x14ac:dyDescent="0.3">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row>
    <row r="644" spans="2:42" ht="13" x14ac:dyDescent="0.3">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row>
    <row r="645" spans="2:42" ht="13" x14ac:dyDescent="0.3">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row>
    <row r="646" spans="2:42" ht="13" x14ac:dyDescent="0.3">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row>
    <row r="647" spans="2:42" ht="13" x14ac:dyDescent="0.3">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row>
    <row r="648" spans="2:42" ht="13" x14ac:dyDescent="0.3">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row>
    <row r="649" spans="2:42" ht="13" x14ac:dyDescent="0.3">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row>
    <row r="650" spans="2:42" ht="13" x14ac:dyDescent="0.3">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row>
    <row r="651" spans="2:42" ht="13" x14ac:dyDescent="0.3">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row>
    <row r="652" spans="2:42" ht="13" x14ac:dyDescent="0.3">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row>
    <row r="653" spans="2:42" ht="13" x14ac:dyDescent="0.3">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row>
    <row r="654" spans="2:42" ht="13" x14ac:dyDescent="0.3">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row>
    <row r="655" spans="2:42" ht="13" x14ac:dyDescent="0.3">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row>
    <row r="656" spans="2:42" ht="13" x14ac:dyDescent="0.3">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row>
    <row r="657" spans="2:42" ht="13" x14ac:dyDescent="0.3">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row>
    <row r="658" spans="2:42" ht="13" x14ac:dyDescent="0.3">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row>
    <row r="659" spans="2:42" ht="13" x14ac:dyDescent="0.3">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row>
    <row r="660" spans="2:42" ht="13" x14ac:dyDescent="0.3">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row>
    <row r="661" spans="2:42" ht="13" x14ac:dyDescent="0.3">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row>
    <row r="662" spans="2:42" ht="13" x14ac:dyDescent="0.3">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row>
    <row r="663" spans="2:42" ht="13" x14ac:dyDescent="0.3">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row>
    <row r="664" spans="2:42" ht="13" x14ac:dyDescent="0.3">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row>
    <row r="665" spans="2:42" ht="13" x14ac:dyDescent="0.3">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row>
    <row r="666" spans="2:42" ht="13" x14ac:dyDescent="0.3">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row>
    <row r="667" spans="2:42" ht="13" x14ac:dyDescent="0.3">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row>
    <row r="668" spans="2:42" ht="13" x14ac:dyDescent="0.3">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row>
    <row r="669" spans="2:42" ht="13" x14ac:dyDescent="0.3">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row>
    <row r="670" spans="2:42" ht="13" x14ac:dyDescent="0.3">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row>
    <row r="671" spans="2:42" ht="13" x14ac:dyDescent="0.3">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row>
    <row r="672" spans="2:42" ht="13" x14ac:dyDescent="0.3">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row>
    <row r="673" spans="2:42" ht="13" x14ac:dyDescent="0.3">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row>
    <row r="674" spans="2:42" ht="13" x14ac:dyDescent="0.3">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row>
    <row r="675" spans="2:42" ht="13" x14ac:dyDescent="0.3">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row>
    <row r="676" spans="2:42" ht="13" x14ac:dyDescent="0.3">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row>
    <row r="677" spans="2:42" ht="13" x14ac:dyDescent="0.3">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row>
    <row r="678" spans="2:42" ht="13" x14ac:dyDescent="0.3">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row>
    <row r="679" spans="2:42" ht="13" x14ac:dyDescent="0.3">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row>
    <row r="680" spans="2:42" ht="13" x14ac:dyDescent="0.3">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row>
    <row r="681" spans="2:42" ht="13" x14ac:dyDescent="0.3">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row>
    <row r="682" spans="2:42" ht="13" x14ac:dyDescent="0.3">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row>
    <row r="683" spans="2:42" ht="13" x14ac:dyDescent="0.3">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row>
    <row r="684" spans="2:42" ht="13" x14ac:dyDescent="0.3">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row>
    <row r="685" spans="2:42" ht="13" x14ac:dyDescent="0.3">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row>
    <row r="686" spans="2:42" ht="13" x14ac:dyDescent="0.3">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row>
    <row r="687" spans="2:42" ht="13" x14ac:dyDescent="0.3">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row>
    <row r="688" spans="2:42" ht="13" x14ac:dyDescent="0.3">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row>
    <row r="689" spans="2:42" ht="13" x14ac:dyDescent="0.3">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row>
    <row r="690" spans="2:42" ht="13" x14ac:dyDescent="0.3">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row>
    <row r="691" spans="2:42" ht="13" x14ac:dyDescent="0.3">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row>
    <row r="692" spans="2:42" ht="13" x14ac:dyDescent="0.3">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row>
    <row r="693" spans="2:42" ht="13" x14ac:dyDescent="0.3">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row>
    <row r="694" spans="2:42" ht="13" x14ac:dyDescent="0.3">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row>
    <row r="695" spans="2:42" ht="13" x14ac:dyDescent="0.3">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row>
    <row r="696" spans="2:42" ht="13" x14ac:dyDescent="0.3">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row>
    <row r="697" spans="2:42" ht="13" x14ac:dyDescent="0.3">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row>
    <row r="698" spans="2:42" ht="13" x14ac:dyDescent="0.3">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row>
    <row r="699" spans="2:42" ht="13" x14ac:dyDescent="0.3">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row>
    <row r="700" spans="2:42" ht="13" x14ac:dyDescent="0.3">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row>
    <row r="701" spans="2:42" ht="13" x14ac:dyDescent="0.3">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row>
    <row r="702" spans="2:42" ht="13" x14ac:dyDescent="0.3">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row>
    <row r="703" spans="2:42" ht="13" x14ac:dyDescent="0.3">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row>
    <row r="704" spans="2:42" ht="13" x14ac:dyDescent="0.3">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row>
    <row r="705" spans="2:42" ht="13" x14ac:dyDescent="0.3">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row>
    <row r="706" spans="2:42" ht="13" x14ac:dyDescent="0.3">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row>
    <row r="707" spans="2:42" ht="13" x14ac:dyDescent="0.3">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row>
    <row r="708" spans="2:42" ht="13" x14ac:dyDescent="0.3">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row>
    <row r="709" spans="2:42" ht="13" x14ac:dyDescent="0.3">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row>
    <row r="710" spans="2:42" ht="13" x14ac:dyDescent="0.3">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row>
    <row r="711" spans="2:42" ht="13" x14ac:dyDescent="0.3">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row>
    <row r="712" spans="2:42" ht="13" x14ac:dyDescent="0.3">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row>
    <row r="713" spans="2:42" ht="13" x14ac:dyDescent="0.3">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row>
    <row r="714" spans="2:42" ht="13" x14ac:dyDescent="0.3">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row>
    <row r="715" spans="2:42" ht="13" x14ac:dyDescent="0.3">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row>
    <row r="716" spans="2:42" ht="13" x14ac:dyDescent="0.3">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row>
    <row r="717" spans="2:42" ht="13" x14ac:dyDescent="0.3">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row>
    <row r="718" spans="2:42" ht="13" x14ac:dyDescent="0.3">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row>
    <row r="719" spans="2:42" ht="13" x14ac:dyDescent="0.3">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row>
    <row r="720" spans="2:42" ht="13" x14ac:dyDescent="0.3">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row>
    <row r="721" spans="2:42" ht="13" x14ac:dyDescent="0.3">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row>
    <row r="722" spans="2:42" ht="13" x14ac:dyDescent="0.3">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row>
    <row r="723" spans="2:42" ht="13" x14ac:dyDescent="0.3">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row>
    <row r="724" spans="2:42" ht="13" x14ac:dyDescent="0.3">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row>
    <row r="725" spans="2:42" ht="13" x14ac:dyDescent="0.3">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row>
    <row r="726" spans="2:42" ht="13" x14ac:dyDescent="0.3">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row>
    <row r="727" spans="2:42" ht="13" x14ac:dyDescent="0.3">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row>
    <row r="728" spans="2:42" ht="13" x14ac:dyDescent="0.3">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row>
    <row r="729" spans="2:42" ht="13" x14ac:dyDescent="0.3">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row>
    <row r="730" spans="2:42" ht="13" x14ac:dyDescent="0.3">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row>
    <row r="731" spans="2:42" ht="13" x14ac:dyDescent="0.3">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row>
    <row r="732" spans="2:42" ht="13" x14ac:dyDescent="0.3">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row>
    <row r="733" spans="2:42" ht="13" x14ac:dyDescent="0.3">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row>
    <row r="734" spans="2:42" ht="13" x14ac:dyDescent="0.3">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row>
    <row r="735" spans="2:42" ht="13" x14ac:dyDescent="0.3">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row>
    <row r="736" spans="2:42" ht="13" x14ac:dyDescent="0.3">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row>
    <row r="737" spans="2:42" ht="13" x14ac:dyDescent="0.3">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row>
    <row r="738" spans="2:42" ht="13" x14ac:dyDescent="0.3">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row>
    <row r="739" spans="2:42" ht="13" x14ac:dyDescent="0.3">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row>
    <row r="740" spans="2:42" ht="13" x14ac:dyDescent="0.3">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row>
    <row r="741" spans="2:42" ht="13" x14ac:dyDescent="0.3">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row>
    <row r="742" spans="2:42" ht="13" x14ac:dyDescent="0.3">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row>
    <row r="743" spans="2:42" ht="13" x14ac:dyDescent="0.3">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row>
    <row r="744" spans="2:42" ht="13" x14ac:dyDescent="0.3">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row>
    <row r="745" spans="2:42" ht="13" x14ac:dyDescent="0.3">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row>
    <row r="746" spans="2:42" ht="13" x14ac:dyDescent="0.3">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row>
    <row r="747" spans="2:42" ht="13" x14ac:dyDescent="0.3">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row>
    <row r="748" spans="2:42" ht="13" x14ac:dyDescent="0.3">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row>
    <row r="749" spans="2:42" ht="13" x14ac:dyDescent="0.3">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row>
    <row r="750" spans="2:42" ht="13" x14ac:dyDescent="0.3">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row>
    <row r="751" spans="2:42" ht="13" x14ac:dyDescent="0.3">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row>
    <row r="752" spans="2:42" ht="13" x14ac:dyDescent="0.3">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row>
    <row r="753" spans="2:42" ht="13" x14ac:dyDescent="0.3">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row>
    <row r="754" spans="2:42" ht="13" x14ac:dyDescent="0.3">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row>
    <row r="755" spans="2:42" ht="13" x14ac:dyDescent="0.3">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row>
    <row r="756" spans="2:42" ht="13" x14ac:dyDescent="0.3">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row>
    <row r="757" spans="2:42" ht="13" x14ac:dyDescent="0.3">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row>
    <row r="758" spans="2:42" ht="13" x14ac:dyDescent="0.3">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row>
    <row r="759" spans="2:42" ht="13" x14ac:dyDescent="0.3">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row>
    <row r="760" spans="2:42" ht="13" x14ac:dyDescent="0.3">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row>
    <row r="761" spans="2:42" ht="13" x14ac:dyDescent="0.3">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row>
    <row r="762" spans="2:42" ht="13" x14ac:dyDescent="0.3">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row>
    <row r="763" spans="2:42" ht="13" x14ac:dyDescent="0.3">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row>
    <row r="764" spans="2:42" ht="13" x14ac:dyDescent="0.3">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row>
    <row r="765" spans="2:42" ht="13" x14ac:dyDescent="0.3">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row>
    <row r="766" spans="2:42" ht="13" x14ac:dyDescent="0.3">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row>
    <row r="767" spans="2:42" ht="13" x14ac:dyDescent="0.3">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row>
    <row r="768" spans="2:42" ht="13" x14ac:dyDescent="0.3">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row>
    <row r="769" spans="2:42" ht="13" x14ac:dyDescent="0.3">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row>
    <row r="770" spans="2:42" ht="13" x14ac:dyDescent="0.3">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row>
    <row r="771" spans="2:42" ht="13" x14ac:dyDescent="0.3">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row>
    <row r="772" spans="2:42" ht="13" x14ac:dyDescent="0.3">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row>
    <row r="773" spans="2:42" ht="13" x14ac:dyDescent="0.3">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row>
    <row r="774" spans="2:42" ht="13" x14ac:dyDescent="0.3">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row>
    <row r="775" spans="2:42" ht="13" x14ac:dyDescent="0.3">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row>
    <row r="776" spans="2:42" ht="13" x14ac:dyDescent="0.3">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row>
    <row r="777" spans="2:42" ht="13" x14ac:dyDescent="0.3">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row>
    <row r="778" spans="2:42" ht="13" x14ac:dyDescent="0.3">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row>
    <row r="779" spans="2:42" ht="13" x14ac:dyDescent="0.3">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row>
    <row r="780" spans="2:42" ht="13" x14ac:dyDescent="0.3">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row>
    <row r="781" spans="2:42" ht="13" x14ac:dyDescent="0.3">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row>
    <row r="782" spans="2:42" ht="13" x14ac:dyDescent="0.3">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row>
    <row r="783" spans="2:42" ht="13" x14ac:dyDescent="0.3">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row>
    <row r="784" spans="2:42" ht="13" x14ac:dyDescent="0.3">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row>
    <row r="785" spans="2:42" ht="13" x14ac:dyDescent="0.3">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row>
    <row r="786" spans="2:42" ht="13" x14ac:dyDescent="0.3">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row>
    <row r="787" spans="2:42" ht="13" x14ac:dyDescent="0.3">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row>
    <row r="788" spans="2:42" ht="13" x14ac:dyDescent="0.3">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row>
    <row r="789" spans="2:42" ht="13" x14ac:dyDescent="0.3">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row>
    <row r="790" spans="2:42" ht="13" x14ac:dyDescent="0.3">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row>
    <row r="791" spans="2:42" ht="13" x14ac:dyDescent="0.3">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row>
    <row r="792" spans="2:42" ht="13" x14ac:dyDescent="0.3">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row>
    <row r="793" spans="2:42" ht="13" x14ac:dyDescent="0.3">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row>
    <row r="794" spans="2:42" ht="13" x14ac:dyDescent="0.3">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row>
    <row r="795" spans="2:42" ht="13" x14ac:dyDescent="0.3">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row>
    <row r="796" spans="2:42" ht="13" x14ac:dyDescent="0.3">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row>
    <row r="797" spans="2:42" ht="13" x14ac:dyDescent="0.3">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row>
    <row r="798" spans="2:42" ht="13" x14ac:dyDescent="0.3">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row>
    <row r="799" spans="2:42" ht="13" x14ac:dyDescent="0.3">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row>
    <row r="800" spans="2:42" ht="13" x14ac:dyDescent="0.3">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row>
    <row r="801" spans="2:42" ht="13" x14ac:dyDescent="0.3">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row>
    <row r="802" spans="2:42" ht="13" x14ac:dyDescent="0.3">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row>
    <row r="803" spans="2:42" ht="13" x14ac:dyDescent="0.3">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row>
    <row r="804" spans="2:42" ht="13" x14ac:dyDescent="0.3">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row>
    <row r="805" spans="2:42" ht="13" x14ac:dyDescent="0.3">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row>
    <row r="806" spans="2:42" ht="13" x14ac:dyDescent="0.3">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row>
    <row r="807" spans="2:42" ht="13" x14ac:dyDescent="0.3">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row>
    <row r="808" spans="2:42" ht="13" x14ac:dyDescent="0.3">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row>
    <row r="809" spans="2:42" ht="13" x14ac:dyDescent="0.3">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row>
    <row r="810" spans="2:42" ht="13" x14ac:dyDescent="0.3">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row>
    <row r="811" spans="2:42" ht="13" x14ac:dyDescent="0.3">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row>
    <row r="812" spans="2:42" ht="13" x14ac:dyDescent="0.3">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row>
    <row r="813" spans="2:42" ht="13" x14ac:dyDescent="0.3">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row>
    <row r="814" spans="2:42" ht="13" x14ac:dyDescent="0.3">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row>
    <row r="815" spans="2:42" ht="13" x14ac:dyDescent="0.3">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row>
    <row r="816" spans="2:42" ht="13" x14ac:dyDescent="0.3">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row>
    <row r="817" spans="2:42" ht="13" x14ac:dyDescent="0.3">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row>
    <row r="818" spans="2:42" ht="13" x14ac:dyDescent="0.3">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row>
    <row r="819" spans="2:42" ht="13" x14ac:dyDescent="0.3">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row>
    <row r="820" spans="2:42" ht="13" x14ac:dyDescent="0.3">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row>
    <row r="821" spans="2:42" ht="13" x14ac:dyDescent="0.3">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row>
    <row r="822" spans="2:42" ht="13" x14ac:dyDescent="0.3">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row>
    <row r="823" spans="2:42" ht="13" x14ac:dyDescent="0.3">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row>
    <row r="824" spans="2:42" ht="13" x14ac:dyDescent="0.3">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row>
    <row r="825" spans="2:42" ht="13" x14ac:dyDescent="0.3">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row>
    <row r="826" spans="2:42" ht="13" x14ac:dyDescent="0.3">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row>
    <row r="827" spans="2:42" ht="13" x14ac:dyDescent="0.3">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row>
    <row r="828" spans="2:42" ht="13" x14ac:dyDescent="0.3">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row>
    <row r="829" spans="2:42" ht="13" x14ac:dyDescent="0.3">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row>
    <row r="830" spans="2:42" ht="13" x14ac:dyDescent="0.3">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row>
    <row r="831" spans="2:42" ht="13" x14ac:dyDescent="0.3">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row>
    <row r="832" spans="2:42" ht="13" x14ac:dyDescent="0.3">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row>
    <row r="833" spans="2:42" ht="13" x14ac:dyDescent="0.3">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row>
    <row r="834" spans="2:42" ht="13" x14ac:dyDescent="0.3">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row>
    <row r="835" spans="2:42" ht="13" x14ac:dyDescent="0.3">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row>
    <row r="836" spans="2:42" ht="13" x14ac:dyDescent="0.3">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row>
    <row r="837" spans="2:42" ht="13" x14ac:dyDescent="0.3">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row>
    <row r="838" spans="2:42" ht="13" x14ac:dyDescent="0.3">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row>
    <row r="839" spans="2:42" ht="13" x14ac:dyDescent="0.3">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row>
    <row r="840" spans="2:42" ht="13" x14ac:dyDescent="0.3">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row>
    <row r="841" spans="2:42" ht="13" x14ac:dyDescent="0.3">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row>
    <row r="842" spans="2:42" ht="13" x14ac:dyDescent="0.3">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row>
    <row r="843" spans="2:42" ht="13" x14ac:dyDescent="0.3">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row>
    <row r="844" spans="2:42" ht="13" x14ac:dyDescent="0.3">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row>
    <row r="845" spans="2:42" ht="13" x14ac:dyDescent="0.3">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row>
    <row r="846" spans="2:42" ht="13" x14ac:dyDescent="0.3">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row>
    <row r="847" spans="2:42" ht="13" x14ac:dyDescent="0.3">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row>
    <row r="848" spans="2:42" ht="13" x14ac:dyDescent="0.3">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row>
    <row r="849" spans="2:42" ht="13" x14ac:dyDescent="0.3">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row>
    <row r="850" spans="2:42" ht="13" x14ac:dyDescent="0.3">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row>
    <row r="851" spans="2:42" ht="13" x14ac:dyDescent="0.3">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row>
    <row r="852" spans="2:42" ht="13" x14ac:dyDescent="0.3">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row>
    <row r="853" spans="2:42" ht="13" x14ac:dyDescent="0.3">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row>
    <row r="854" spans="2:42" ht="13" x14ac:dyDescent="0.3">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row>
    <row r="855" spans="2:42" ht="13" x14ac:dyDescent="0.3">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row>
    <row r="856" spans="2:42" ht="13" x14ac:dyDescent="0.3">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row>
    <row r="857" spans="2:42" ht="13" x14ac:dyDescent="0.3">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row>
    <row r="858" spans="2:42" ht="13" x14ac:dyDescent="0.3">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row>
    <row r="859" spans="2:42" ht="13" x14ac:dyDescent="0.3">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row>
    <row r="860" spans="2:42" ht="13" x14ac:dyDescent="0.3">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row>
    <row r="861" spans="2:42" ht="13" x14ac:dyDescent="0.3">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row>
    <row r="862" spans="2:42" ht="13" x14ac:dyDescent="0.3">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row>
    <row r="863" spans="2:42" ht="13" x14ac:dyDescent="0.3">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row>
    <row r="864" spans="2:42" ht="13" x14ac:dyDescent="0.3">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row>
    <row r="865" spans="2:42" ht="13" x14ac:dyDescent="0.3">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row>
    <row r="866" spans="2:42" ht="13" x14ac:dyDescent="0.3">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row>
    <row r="867" spans="2:42" ht="13" x14ac:dyDescent="0.3">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row>
    <row r="868" spans="2:42" ht="13" x14ac:dyDescent="0.3">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row>
    <row r="869" spans="2:42" ht="13" x14ac:dyDescent="0.3">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row>
    <row r="870" spans="2:42" ht="13" x14ac:dyDescent="0.3">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row>
    <row r="871" spans="2:42" ht="13" x14ac:dyDescent="0.3">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row>
    <row r="872" spans="2:42" ht="13" x14ac:dyDescent="0.3">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row>
    <row r="873" spans="2:42" ht="13" x14ac:dyDescent="0.3">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row>
    <row r="874" spans="2:42" ht="13" x14ac:dyDescent="0.3">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row>
    <row r="875" spans="2:42" ht="13" x14ac:dyDescent="0.3">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row>
    <row r="876" spans="2:42" ht="13" x14ac:dyDescent="0.3">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row>
    <row r="877" spans="2:42" ht="13" x14ac:dyDescent="0.3">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row>
    <row r="878" spans="2:42" ht="13" x14ac:dyDescent="0.3">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row>
    <row r="879" spans="2:42" ht="13" x14ac:dyDescent="0.3">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row>
    <row r="880" spans="2:42" ht="13" x14ac:dyDescent="0.3">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row>
    <row r="881" spans="2:42" ht="13" x14ac:dyDescent="0.3">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row>
    <row r="882" spans="2:42" ht="13" x14ac:dyDescent="0.3">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row>
    <row r="883" spans="2:42" ht="13" x14ac:dyDescent="0.3">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row>
    <row r="884" spans="2:42" ht="13" x14ac:dyDescent="0.3">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row>
    <row r="885" spans="2:42" ht="13" x14ac:dyDescent="0.3">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row>
    <row r="886" spans="2:42" ht="13" x14ac:dyDescent="0.3">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row>
    <row r="887" spans="2:42" ht="13" x14ac:dyDescent="0.3">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row>
    <row r="888" spans="2:42" ht="13" x14ac:dyDescent="0.3">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row>
    <row r="889" spans="2:42" ht="13" x14ac:dyDescent="0.3">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row>
    <row r="890" spans="2:42" ht="13" x14ac:dyDescent="0.3">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row>
    <row r="891" spans="2:42" ht="13" x14ac:dyDescent="0.3">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row>
    <row r="892" spans="2:42" ht="13" x14ac:dyDescent="0.3">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row>
    <row r="893" spans="2:42" ht="13" x14ac:dyDescent="0.3">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row>
    <row r="894" spans="2:42" ht="13" x14ac:dyDescent="0.3">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row>
    <row r="895" spans="2:42" ht="13" x14ac:dyDescent="0.3">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row>
    <row r="896" spans="2:42" ht="13" x14ac:dyDescent="0.3">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row>
    <row r="897" spans="2:42" ht="13" x14ac:dyDescent="0.3">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row>
    <row r="898" spans="2:42" ht="13" x14ac:dyDescent="0.3">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row>
    <row r="899" spans="2:42" ht="13" x14ac:dyDescent="0.3">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row>
    <row r="900" spans="2:42" ht="13" x14ac:dyDescent="0.3">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row>
    <row r="901" spans="2:42" ht="13" x14ac:dyDescent="0.3">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row>
    <row r="902" spans="2:42" ht="13" x14ac:dyDescent="0.3">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row>
    <row r="903" spans="2:42" ht="13" x14ac:dyDescent="0.3">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row>
    <row r="904" spans="2:42" ht="13" x14ac:dyDescent="0.3">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row>
    <row r="905" spans="2:42" ht="13" x14ac:dyDescent="0.3">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row>
    <row r="906" spans="2:42" ht="13" x14ac:dyDescent="0.3">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row>
    <row r="907" spans="2:42" ht="13" x14ac:dyDescent="0.3">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row>
    <row r="908" spans="2:42" ht="13" x14ac:dyDescent="0.3">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row>
    <row r="909" spans="2:42" ht="13" x14ac:dyDescent="0.3">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row>
    <row r="910" spans="2:42" ht="13" x14ac:dyDescent="0.3">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row>
    <row r="911" spans="2:42" ht="13" x14ac:dyDescent="0.3">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row>
    <row r="912" spans="2:42" ht="13" x14ac:dyDescent="0.3">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row>
    <row r="913" spans="2:42" ht="13" x14ac:dyDescent="0.3">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row>
    <row r="914" spans="2:42" ht="13" x14ac:dyDescent="0.3">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row>
    <row r="915" spans="2:42" ht="13" x14ac:dyDescent="0.3">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row>
    <row r="916" spans="2:42" ht="13" x14ac:dyDescent="0.3">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row>
    <row r="917" spans="2:42" ht="13" x14ac:dyDescent="0.3">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row>
    <row r="918" spans="2:42" ht="13" x14ac:dyDescent="0.3">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row>
    <row r="919" spans="2:42" ht="13" x14ac:dyDescent="0.3">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row>
    <row r="920" spans="2:42" ht="13" x14ac:dyDescent="0.3">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row>
    <row r="921" spans="2:42" ht="13" x14ac:dyDescent="0.3">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row>
    <row r="922" spans="2:42" ht="13" x14ac:dyDescent="0.3">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row>
    <row r="923" spans="2:42" ht="13" x14ac:dyDescent="0.3">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row>
    <row r="924" spans="2:42" ht="13" x14ac:dyDescent="0.3">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row>
  </sheetData>
  <sheetProtection formatCells="0" formatColumns="0" formatRows="0" insertColumns="0" insertRows="0" insertHyperlinks="0" deleteColumns="0" deleteRows="0" sort="0" autoFilter="0" pivotTables="0"/>
  <mergeCells count="75">
    <mergeCell ref="AC37:AD37"/>
    <mergeCell ref="AE37:AF37"/>
    <mergeCell ref="AG37:AH37"/>
    <mergeCell ref="AI37:AJ37"/>
    <mergeCell ref="AK37:AL37"/>
    <mergeCell ref="AM4:AN4"/>
    <mergeCell ref="AO4:AP4"/>
    <mergeCell ref="AQ4:AR4"/>
    <mergeCell ref="AO26:AP26"/>
    <mergeCell ref="AQ26:AR26"/>
    <mergeCell ref="S26:T26"/>
    <mergeCell ref="U26:V26"/>
    <mergeCell ref="W26:X26"/>
    <mergeCell ref="AM15:AN15"/>
    <mergeCell ref="AO15:AP15"/>
    <mergeCell ref="Y26:Z26"/>
    <mergeCell ref="AA26:AB26"/>
    <mergeCell ref="AC26:AD26"/>
    <mergeCell ref="AE26:AF26"/>
    <mergeCell ref="AG26:AH26"/>
    <mergeCell ref="AI26:AJ26"/>
    <mergeCell ref="S4:T4"/>
    <mergeCell ref="U4:V4"/>
    <mergeCell ref="W4:X4"/>
    <mergeCell ref="U15:V15"/>
    <mergeCell ref="W15:X15"/>
    <mergeCell ref="BC26:BD26"/>
    <mergeCell ref="AS26:AT26"/>
    <mergeCell ref="AU26:AV26"/>
    <mergeCell ref="AW26:AX26"/>
    <mergeCell ref="AY26:AZ26"/>
    <mergeCell ref="BA26:BB26"/>
    <mergeCell ref="AY15:AZ15"/>
    <mergeCell ref="BA15:BB15"/>
    <mergeCell ref="BC15:BD15"/>
    <mergeCell ref="S25:X25"/>
    <mergeCell ref="Y25:AD25"/>
    <mergeCell ref="AE25:AJ25"/>
    <mergeCell ref="AW15:AX15"/>
    <mergeCell ref="AM25:AR25"/>
    <mergeCell ref="AS25:AX25"/>
    <mergeCell ref="AY25:BD25"/>
    <mergeCell ref="AQ15:AR15"/>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C4:AD4"/>
    <mergeCell ref="AG4:AH4"/>
    <mergeCell ref="AI4:AJ4"/>
    <mergeCell ref="Y4:Z4"/>
    <mergeCell ref="AE4:AF4"/>
    <mergeCell ref="AS4:AT4"/>
    <mergeCell ref="AU4:AV4"/>
    <mergeCell ref="AW4:AX4"/>
    <mergeCell ref="AY4:AZ4"/>
    <mergeCell ref="BA4:BB4"/>
    <mergeCell ref="AM3:AR3"/>
    <mergeCell ref="S3:X3"/>
    <mergeCell ref="AS3:AX3"/>
    <mergeCell ref="AY3:BD3"/>
    <mergeCell ref="Y3:AD3"/>
    <mergeCell ref="AE3:AJ3"/>
  </mergeCells>
  <phoneticPr fontId="12" type="noConversion"/>
  <conditionalFormatting sqref="C10 C5 C8:E9 H3:H86 D3:E86">
    <cfRule type="containsText" dxfId="49" priority="186" operator="containsText" text="No">
      <formula>NOT(ISERROR(SEARCH("No",C3)))</formula>
    </cfRule>
  </conditionalFormatting>
  <conditionalFormatting sqref="H3:H86 C3:E86">
    <cfRule type="containsText" dxfId="48" priority="185" operator="containsText" text="No">
      <formula>NOT(ISERROR(SEARCH("No",C3)))</formula>
    </cfRule>
  </conditionalFormatting>
  <conditionalFormatting sqref="C3:C86">
    <cfRule type="containsText" dxfId="47" priority="184" operator="containsText" text="Yes">
      <formula>NOT(ISERROR(SEARCH("Yes",C3)))</formula>
    </cfRule>
  </conditionalFormatting>
  <conditionalFormatting sqref="F3:K86">
    <cfRule type="containsText" dxfId="46" priority="182" operator="containsText" text="Yes">
      <formula>NOT(ISERROR(SEARCH("Yes",F3)))</formula>
    </cfRule>
    <cfRule type="containsText" dxfId="45" priority="183" operator="containsText" text="No">
      <formula>NOT(ISERROR(SEARCH("No",F3)))</formula>
    </cfRule>
  </conditionalFormatting>
  <conditionalFormatting sqref="C19">
    <cfRule type="containsText" dxfId="44" priority="106" operator="containsText" text="Yes">
      <formula>NOT(ISERROR(SEARCH("Yes",C19)))</formula>
    </cfRule>
  </conditionalFormatting>
  <conditionalFormatting sqref="C21">
    <cfRule type="containsText" dxfId="43" priority="92" operator="containsText" text="Yes">
      <formula>NOT(ISERROR(SEARCH("Yes",C21)))</formula>
    </cfRule>
  </conditionalFormatting>
  <conditionalFormatting sqref="C4">
    <cfRule type="containsText" dxfId="42" priority="58" operator="containsText" text="Yes">
      <formula>NOT(ISERROR(SEARCH("Yes",C4)))</formula>
    </cfRule>
  </conditionalFormatting>
  <conditionalFormatting sqref="C5">
    <cfRule type="containsText" dxfId="41" priority="53" operator="containsText" text="Yes">
      <formula>NOT(ISERROR(SEARCH("Yes",C5)))</formula>
    </cfRule>
  </conditionalFormatting>
  <conditionalFormatting sqref="C3:C13">
    <cfRule type="containsText" dxfId="40" priority="48" operator="containsText" text="Yes">
      <formula>NOT(ISERROR(SEARCH("Yes",C3)))</formula>
    </cfRule>
  </conditionalFormatting>
  <conditionalFormatting sqref="C6">
    <cfRule type="containsText" dxfId="39" priority="43" operator="containsText" text="Yes">
      <formula>NOT(ISERROR(SEARCH("Yes",C6)))</formula>
    </cfRule>
  </conditionalFormatting>
  <conditionalFormatting sqref="C7">
    <cfRule type="containsText" dxfId="38" priority="38" operator="containsText" text="Yes">
      <formula>NOT(ISERROR(SEARCH("Yes",C7)))</formula>
    </cfRule>
  </conditionalFormatting>
  <conditionalFormatting sqref="C8:C9">
    <cfRule type="containsText" dxfId="37" priority="33" operator="containsText" text="Yes">
      <formula>NOT(ISERROR(SEARCH("Yes",C8)))</formula>
    </cfRule>
  </conditionalFormatting>
  <dataValidations count="1">
    <dataValidation type="list" allowBlank="1" showInputMessage="1" showErrorMessage="1" sqref="C3:C86 F3:F86 I3:I86"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oddHeader>
    <oddFooter>&amp;LVersion 2.2&amp;R&amp;D</oddFooter>
  </headerFooter>
  <customProperties>
    <customPr name="SSC_SHEET_GUID" r:id="rId2"/>
  </customProperties>
  <tableParts count="3">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5"/>
  <sheetViews>
    <sheetView workbookViewId="0"/>
  </sheetViews>
  <sheetFormatPr defaultRowHeight="12.5" x14ac:dyDescent="0.25"/>
  <sheetData>
    <row r="1" spans="1:5" x14ac:dyDescent="0.25">
      <c r="A1" t="s">
        <v>156</v>
      </c>
      <c r="B1" t="s">
        <v>157</v>
      </c>
      <c r="C1" t="s">
        <v>508</v>
      </c>
      <c r="D1" t="s">
        <v>266</v>
      </c>
      <c r="E1" t="s">
        <v>155</v>
      </c>
    </row>
    <row r="2" spans="1:5" x14ac:dyDescent="0.25">
      <c r="A2" t="s">
        <v>158</v>
      </c>
      <c r="B2" t="s">
        <v>159</v>
      </c>
      <c r="C2" t="s">
        <v>509</v>
      </c>
    </row>
    <row r="3" spans="1:5" x14ac:dyDescent="0.25">
      <c r="A3" t="s">
        <v>160</v>
      </c>
      <c r="B3" t="s">
        <v>161</v>
      </c>
      <c r="C3" t="s">
        <v>256</v>
      </c>
    </row>
    <row r="4" spans="1:5" x14ac:dyDescent="0.25">
      <c r="A4" t="s">
        <v>162</v>
      </c>
      <c r="B4" t="s">
        <v>163</v>
      </c>
      <c r="C4" t="s">
        <v>257</v>
      </c>
    </row>
    <row r="5" spans="1:5" x14ac:dyDescent="0.25">
      <c r="A5" t="s">
        <v>164</v>
      </c>
      <c r="B5" t="s">
        <v>165</v>
      </c>
      <c r="C5" t="s">
        <v>258</v>
      </c>
    </row>
    <row r="6" spans="1:5" x14ac:dyDescent="0.25">
      <c r="A6" t="s">
        <v>166</v>
      </c>
      <c r="B6" t="s">
        <v>167</v>
      </c>
      <c r="C6" t="s">
        <v>259</v>
      </c>
    </row>
    <row r="7" spans="1:5" x14ac:dyDescent="0.25">
      <c r="A7" t="s">
        <v>168</v>
      </c>
      <c r="B7" t="s">
        <v>169</v>
      </c>
      <c r="C7" t="s">
        <v>260</v>
      </c>
    </row>
    <row r="8" spans="1:5" x14ac:dyDescent="0.25">
      <c r="A8" t="s">
        <v>170</v>
      </c>
      <c r="C8" t="s">
        <v>261</v>
      </c>
    </row>
    <row r="9" spans="1:5" x14ac:dyDescent="0.25">
      <c r="A9" t="s">
        <v>171</v>
      </c>
      <c r="C9" t="s">
        <v>262</v>
      </c>
    </row>
    <row r="10" spans="1:5" x14ac:dyDescent="0.25">
      <c r="A10" t="s">
        <v>172</v>
      </c>
      <c r="C10" t="s">
        <v>263</v>
      </c>
    </row>
    <row r="11" spans="1:5" x14ac:dyDescent="0.25">
      <c r="A11" t="s">
        <v>173</v>
      </c>
      <c r="C11" t="s">
        <v>510</v>
      </c>
    </row>
    <row r="12" spans="1:5" x14ac:dyDescent="0.25">
      <c r="A12" t="s">
        <v>174</v>
      </c>
      <c r="C12" t="s">
        <v>264</v>
      </c>
    </row>
    <row r="13" spans="1:5" x14ac:dyDescent="0.25">
      <c r="A13" t="s">
        <v>175</v>
      </c>
      <c r="C13" t="s">
        <v>265</v>
      </c>
    </row>
    <row r="14" spans="1:5" x14ac:dyDescent="0.25">
      <c r="A14" t="s">
        <v>176</v>
      </c>
    </row>
    <row r="15" spans="1:5" x14ac:dyDescent="0.25">
      <c r="A15" t="s">
        <v>177</v>
      </c>
    </row>
    <row r="16" spans="1:5" x14ac:dyDescent="0.25">
      <c r="A16" t="s">
        <v>178</v>
      </c>
    </row>
    <row r="17" spans="1:1" x14ac:dyDescent="0.25">
      <c r="A17" t="s">
        <v>179</v>
      </c>
    </row>
    <row r="18" spans="1:1" x14ac:dyDescent="0.25">
      <c r="A18" t="s">
        <v>180</v>
      </c>
    </row>
    <row r="19" spans="1:1" x14ac:dyDescent="0.25">
      <c r="A19" t="s">
        <v>181</v>
      </c>
    </row>
    <row r="20" spans="1:1" x14ac:dyDescent="0.25">
      <c r="A20" t="s">
        <v>182</v>
      </c>
    </row>
    <row r="21" spans="1:1" x14ac:dyDescent="0.25">
      <c r="A21" t="s">
        <v>183</v>
      </c>
    </row>
    <row r="22" spans="1:1" x14ac:dyDescent="0.25">
      <c r="A22" t="s">
        <v>184</v>
      </c>
    </row>
    <row r="23" spans="1:1" x14ac:dyDescent="0.25">
      <c r="A23" t="s">
        <v>185</v>
      </c>
    </row>
    <row r="24" spans="1:1" x14ac:dyDescent="0.25">
      <c r="A24" t="s">
        <v>186</v>
      </c>
    </row>
    <row r="25" spans="1:1" x14ac:dyDescent="0.25">
      <c r="A25" t="s">
        <v>187</v>
      </c>
    </row>
    <row r="26" spans="1:1" x14ac:dyDescent="0.25">
      <c r="A26" t="s">
        <v>188</v>
      </c>
    </row>
    <row r="27" spans="1:1" x14ac:dyDescent="0.25">
      <c r="A27" t="s">
        <v>189</v>
      </c>
    </row>
    <row r="28" spans="1:1" x14ac:dyDescent="0.25">
      <c r="A28" t="s">
        <v>190</v>
      </c>
    </row>
    <row r="29" spans="1:1" x14ac:dyDescent="0.25">
      <c r="A29" t="s">
        <v>191</v>
      </c>
    </row>
    <row r="30" spans="1:1" x14ac:dyDescent="0.25">
      <c r="A30" t="s">
        <v>192</v>
      </c>
    </row>
    <row r="31" spans="1:1" x14ac:dyDescent="0.25">
      <c r="A31" t="s">
        <v>193</v>
      </c>
    </row>
    <row r="32" spans="1:1" x14ac:dyDescent="0.25">
      <c r="A32" t="s">
        <v>194</v>
      </c>
    </row>
    <row r="33" spans="1:1" x14ac:dyDescent="0.25">
      <c r="A33" t="s">
        <v>195</v>
      </c>
    </row>
    <row r="34" spans="1:1" x14ac:dyDescent="0.25">
      <c r="A34" t="s">
        <v>196</v>
      </c>
    </row>
    <row r="35" spans="1:1" x14ac:dyDescent="0.25">
      <c r="A35" t="s">
        <v>197</v>
      </c>
    </row>
    <row r="36" spans="1:1" x14ac:dyDescent="0.25">
      <c r="A36" t="s">
        <v>198</v>
      </c>
    </row>
    <row r="37" spans="1:1" x14ac:dyDescent="0.25">
      <c r="A37" t="s">
        <v>199</v>
      </c>
    </row>
    <row r="38" spans="1:1" x14ac:dyDescent="0.25">
      <c r="A38" t="s">
        <v>200</v>
      </c>
    </row>
    <row r="39" spans="1:1" x14ac:dyDescent="0.25">
      <c r="A39" t="s">
        <v>201</v>
      </c>
    </row>
    <row r="40" spans="1:1" x14ac:dyDescent="0.25">
      <c r="A40" t="s">
        <v>202</v>
      </c>
    </row>
    <row r="41" spans="1:1" x14ac:dyDescent="0.25">
      <c r="A41" t="s">
        <v>203</v>
      </c>
    </row>
    <row r="42" spans="1:1" x14ac:dyDescent="0.25">
      <c r="A42" t="s">
        <v>204</v>
      </c>
    </row>
    <row r="43" spans="1:1" x14ac:dyDescent="0.25">
      <c r="A43" t="s">
        <v>205</v>
      </c>
    </row>
    <row r="44" spans="1:1" x14ac:dyDescent="0.25">
      <c r="A44" t="s">
        <v>206</v>
      </c>
    </row>
    <row r="45" spans="1:1" x14ac:dyDescent="0.25">
      <c r="A45" t="s">
        <v>207</v>
      </c>
    </row>
    <row r="46" spans="1:1" x14ac:dyDescent="0.25">
      <c r="A46" t="s">
        <v>208</v>
      </c>
    </row>
    <row r="47" spans="1:1" x14ac:dyDescent="0.25">
      <c r="A47" t="s">
        <v>209</v>
      </c>
    </row>
    <row r="48" spans="1:1" x14ac:dyDescent="0.25">
      <c r="A48" t="s">
        <v>210</v>
      </c>
    </row>
    <row r="49" spans="1:2" x14ac:dyDescent="0.25">
      <c r="A49" t="s">
        <v>211</v>
      </c>
    </row>
    <row r="50" spans="1:2" x14ac:dyDescent="0.25">
      <c r="A50" t="s">
        <v>212</v>
      </c>
    </row>
    <row r="51" spans="1:2" x14ac:dyDescent="0.25">
      <c r="A51" t="s">
        <v>213</v>
      </c>
    </row>
    <row r="52" spans="1:2" x14ac:dyDescent="0.25">
      <c r="A52" t="s">
        <v>214</v>
      </c>
    </row>
    <row r="53" spans="1:2" x14ac:dyDescent="0.25">
      <c r="A53" t="s">
        <v>215</v>
      </c>
    </row>
    <row r="54" spans="1:2" x14ac:dyDescent="0.25">
      <c r="A54" t="s">
        <v>216</v>
      </c>
    </row>
    <row r="55" spans="1:2" x14ac:dyDescent="0.25">
      <c r="A55" t="s">
        <v>217</v>
      </c>
    </row>
    <row r="56" spans="1:2" x14ac:dyDescent="0.25">
      <c r="A56" t="s">
        <v>218</v>
      </c>
    </row>
    <row r="57" spans="1:2" x14ac:dyDescent="0.25">
      <c r="A57" t="s">
        <v>219</v>
      </c>
    </row>
    <row r="58" spans="1:2" x14ac:dyDescent="0.25">
      <c r="A58" t="s">
        <v>220</v>
      </c>
    </row>
    <row r="59" spans="1:2" x14ac:dyDescent="0.25">
      <c r="A59" t="s">
        <v>221</v>
      </c>
    </row>
    <row r="60" spans="1:2" x14ac:dyDescent="0.25">
      <c r="A60" t="s">
        <v>222</v>
      </c>
    </row>
    <row r="61" spans="1:2" x14ac:dyDescent="0.25">
      <c r="A61" t="s">
        <v>223</v>
      </c>
    </row>
    <row r="62" spans="1:2" x14ac:dyDescent="0.25">
      <c r="A62" t="s">
        <v>224</v>
      </c>
    </row>
    <row r="63" spans="1:2" x14ac:dyDescent="0.25">
      <c r="A63" t="s">
        <v>225</v>
      </c>
      <c r="B63" t="s">
        <v>226</v>
      </c>
    </row>
    <row r="64" spans="1:2" x14ac:dyDescent="0.25">
      <c r="A64" t="s">
        <v>227</v>
      </c>
    </row>
    <row r="65" spans="1:2" x14ac:dyDescent="0.25">
      <c r="A65" t="s">
        <v>228</v>
      </c>
      <c r="B65" t="s">
        <v>229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tabColor theme="9" tint="0.79998168889431442"/>
    <pageSetUpPr fitToPage="1"/>
  </sheetPr>
  <dimension ref="A1:N17"/>
  <sheetViews>
    <sheetView zoomScale="115" zoomScaleNormal="115" workbookViewId="0">
      <selection activeCell="C13" sqref="C13:M16"/>
    </sheetView>
  </sheetViews>
  <sheetFormatPr defaultRowHeight="12.5" x14ac:dyDescent="0.25"/>
  <cols>
    <col min="2" max="2" width="1.1796875" customWidth="1"/>
    <col min="3" max="3" width="6.81640625" customWidth="1"/>
    <col min="4" max="4" width="7.54296875" customWidth="1"/>
    <col min="6" max="6" width="10.54296875" customWidth="1"/>
    <col min="13" max="13" width="16.54296875" customWidth="1"/>
    <col min="14" max="14" width="1.453125" customWidth="1"/>
  </cols>
  <sheetData>
    <row r="1" spans="1:14" ht="13" x14ac:dyDescent="0.3">
      <c r="A1" s="46" t="s">
        <v>599</v>
      </c>
    </row>
    <row r="2" spans="1:14" ht="9.65" customHeight="1" thickBot="1" x14ac:dyDescent="0.3"/>
    <row r="3" spans="1:14" ht="7" customHeight="1" x14ac:dyDescent="0.25">
      <c r="B3" s="2"/>
      <c r="C3" s="3"/>
      <c r="D3" s="3"/>
      <c r="E3" s="3"/>
      <c r="F3" s="3"/>
      <c r="G3" s="3"/>
      <c r="H3" s="3"/>
      <c r="I3" s="3"/>
      <c r="J3" s="3"/>
      <c r="K3" s="3"/>
      <c r="L3" s="3"/>
      <c r="M3" s="3"/>
      <c r="N3" s="4"/>
    </row>
    <row r="4" spans="1:14" ht="15.5" x14ac:dyDescent="0.35">
      <c r="B4" s="5"/>
      <c r="C4" s="489" t="s">
        <v>37</v>
      </c>
      <c r="D4" s="490"/>
      <c r="E4" s="490"/>
      <c r="F4" s="491"/>
      <c r="G4" s="475"/>
      <c r="H4" s="476"/>
      <c r="I4" s="476"/>
      <c r="J4" s="476"/>
      <c r="K4" s="476"/>
      <c r="L4" s="476"/>
      <c r="M4" s="477"/>
      <c r="N4" s="7"/>
    </row>
    <row r="5" spans="1:14" ht="15.5" x14ac:dyDescent="0.35">
      <c r="B5" s="5"/>
      <c r="C5" s="253"/>
      <c r="D5" s="250"/>
      <c r="E5" s="254"/>
      <c r="F5" s="250"/>
      <c r="G5" s="250"/>
      <c r="H5" s="250"/>
      <c r="I5" s="250"/>
      <c r="J5" s="250"/>
      <c r="K5" s="250"/>
      <c r="L5" s="250"/>
      <c r="M5" s="250"/>
      <c r="N5" s="7"/>
    </row>
    <row r="6" spans="1:14" ht="91.5" customHeight="1" x14ac:dyDescent="0.35">
      <c r="B6" s="5"/>
      <c r="C6" s="487" t="s">
        <v>40</v>
      </c>
      <c r="D6" s="488"/>
      <c r="E6" s="492"/>
      <c r="F6" s="493"/>
      <c r="G6" s="493"/>
      <c r="H6" s="493"/>
      <c r="I6" s="493"/>
      <c r="J6" s="493"/>
      <c r="K6" s="493"/>
      <c r="L6" s="493"/>
      <c r="M6" s="494"/>
      <c r="N6" s="7"/>
    </row>
    <row r="7" spans="1:14" ht="15.5" x14ac:dyDescent="0.35">
      <c r="B7" s="5"/>
      <c r="C7" s="253"/>
      <c r="D7" s="250"/>
      <c r="E7" s="254"/>
      <c r="F7" s="250"/>
      <c r="G7" s="250"/>
      <c r="H7" s="250"/>
      <c r="I7" s="250"/>
      <c r="J7" s="250"/>
      <c r="K7" s="250"/>
      <c r="L7" s="250"/>
      <c r="M7" s="250"/>
      <c r="N7" s="7"/>
    </row>
    <row r="8" spans="1:14" ht="99.65" customHeight="1" x14ac:dyDescent="0.35">
      <c r="B8" s="5"/>
      <c r="C8" s="487" t="s">
        <v>41</v>
      </c>
      <c r="D8" s="488"/>
      <c r="E8" s="492" t="s">
        <v>80</v>
      </c>
      <c r="F8" s="493"/>
      <c r="G8" s="493"/>
      <c r="H8" s="493"/>
      <c r="I8" s="493"/>
      <c r="J8" s="493"/>
      <c r="K8" s="493"/>
      <c r="L8" s="493"/>
      <c r="M8" s="494"/>
      <c r="N8" s="7"/>
    </row>
    <row r="9" spans="1:14" ht="15.5" x14ac:dyDescent="0.35">
      <c r="B9" s="5"/>
      <c r="C9" s="253"/>
      <c r="D9" s="250"/>
      <c r="E9" s="254"/>
      <c r="F9" s="250"/>
      <c r="G9" s="250"/>
      <c r="H9" s="250"/>
      <c r="I9" s="250"/>
      <c r="J9" s="250"/>
      <c r="K9" s="250"/>
      <c r="L9" s="250"/>
      <c r="M9" s="250"/>
      <c r="N9" s="7"/>
    </row>
    <row r="10" spans="1:14" ht="15.5" x14ac:dyDescent="0.35">
      <c r="B10" s="5"/>
      <c r="C10" s="255" t="s">
        <v>38</v>
      </c>
      <c r="D10" s="475"/>
      <c r="E10" s="476"/>
      <c r="F10" s="476"/>
      <c r="G10" s="476"/>
      <c r="H10" s="476"/>
      <c r="I10" s="476"/>
      <c r="J10" s="476"/>
      <c r="K10" s="476"/>
      <c r="L10" s="476"/>
      <c r="M10" s="477"/>
      <c r="N10" s="7"/>
    </row>
    <row r="11" spans="1:14" ht="15.5" x14ac:dyDescent="0.35">
      <c r="B11" s="5"/>
      <c r="C11" s="250"/>
      <c r="D11" s="250"/>
      <c r="E11" s="250"/>
      <c r="F11" s="250"/>
      <c r="G11" s="250"/>
      <c r="H11" s="250"/>
      <c r="I11" s="250"/>
      <c r="J11" s="250"/>
      <c r="K11" s="250"/>
      <c r="L11" s="250"/>
      <c r="M11" s="250"/>
      <c r="N11" s="7"/>
    </row>
    <row r="12" spans="1:14" ht="15.5" x14ac:dyDescent="0.35">
      <c r="B12" s="5"/>
      <c r="C12" s="489" t="s">
        <v>39</v>
      </c>
      <c r="D12" s="490"/>
      <c r="E12" s="490"/>
      <c r="F12" s="490"/>
      <c r="G12" s="490"/>
      <c r="H12" s="490"/>
      <c r="I12" s="490"/>
      <c r="J12" s="490"/>
      <c r="K12" s="490"/>
      <c r="L12" s="490"/>
      <c r="M12" s="491"/>
      <c r="N12" s="7"/>
    </row>
    <row r="13" spans="1:14" x14ac:dyDescent="0.25">
      <c r="B13" s="5"/>
      <c r="C13" s="478"/>
      <c r="D13" s="479"/>
      <c r="E13" s="479"/>
      <c r="F13" s="479"/>
      <c r="G13" s="479"/>
      <c r="H13" s="479"/>
      <c r="I13" s="479"/>
      <c r="J13" s="479"/>
      <c r="K13" s="479"/>
      <c r="L13" s="479"/>
      <c r="M13" s="480"/>
      <c r="N13" s="7"/>
    </row>
    <row r="14" spans="1:14" x14ac:dyDescent="0.25">
      <c r="B14" s="5"/>
      <c r="C14" s="481"/>
      <c r="D14" s="482"/>
      <c r="E14" s="482"/>
      <c r="F14" s="482"/>
      <c r="G14" s="482"/>
      <c r="H14" s="482"/>
      <c r="I14" s="482"/>
      <c r="J14" s="482"/>
      <c r="K14" s="482"/>
      <c r="L14" s="482"/>
      <c r="M14" s="483"/>
      <c r="N14" s="7"/>
    </row>
    <row r="15" spans="1:14" x14ac:dyDescent="0.25">
      <c r="B15" s="5"/>
      <c r="C15" s="481"/>
      <c r="D15" s="482"/>
      <c r="E15" s="482"/>
      <c r="F15" s="482"/>
      <c r="G15" s="482"/>
      <c r="H15" s="482"/>
      <c r="I15" s="482"/>
      <c r="J15" s="482"/>
      <c r="K15" s="482"/>
      <c r="L15" s="482"/>
      <c r="M15" s="483"/>
      <c r="N15" s="7"/>
    </row>
    <row r="16" spans="1:14" ht="71.150000000000006" customHeight="1" x14ac:dyDescent="0.25">
      <c r="B16" s="5"/>
      <c r="C16" s="484"/>
      <c r="D16" s="485"/>
      <c r="E16" s="485"/>
      <c r="F16" s="485"/>
      <c r="G16" s="485"/>
      <c r="H16" s="485"/>
      <c r="I16" s="485"/>
      <c r="J16" s="485"/>
      <c r="K16" s="485"/>
      <c r="L16" s="485"/>
      <c r="M16" s="486"/>
      <c r="N16" s="7"/>
    </row>
    <row r="17" spans="2:14" ht="7" customHeight="1" thickBot="1" x14ac:dyDescent="0.3">
      <c r="B17" s="8"/>
      <c r="C17" s="9"/>
      <c r="D17" s="9"/>
      <c r="E17" s="9"/>
      <c r="F17" s="9"/>
      <c r="G17" s="9"/>
      <c r="H17" s="9"/>
      <c r="I17" s="9"/>
      <c r="J17" s="9"/>
      <c r="K17" s="9"/>
      <c r="L17" s="9"/>
      <c r="M17" s="9"/>
      <c r="N17" s="10"/>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r:id="rId1"/>
  <headerFooter>
    <oddHeader>&amp;LPhosphate Budget Calculator&amp;CProject Title</oddHeader>
    <oddFooter>&amp;LVersion 2.2&amp;R&amp;D</oddFooter>
  </headerFooter>
  <customProperties>
    <customPr name="SSC_SHEET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rgb="FFD6F4FE"/>
    <pageSetUpPr fitToPage="1"/>
  </sheetPr>
  <dimension ref="A1:AX68"/>
  <sheetViews>
    <sheetView zoomScaleNormal="100" workbookViewId="0">
      <selection activeCell="V17" sqref="V17"/>
    </sheetView>
  </sheetViews>
  <sheetFormatPr defaultRowHeight="12.5" x14ac:dyDescent="0.25"/>
  <cols>
    <col min="2" max="2" width="2.26953125" customWidth="1"/>
    <col min="3" max="3" width="2.453125" customWidth="1"/>
    <col min="4" max="4" width="8.7265625" customWidth="1"/>
    <col min="5" max="5" width="13.81640625" customWidth="1"/>
    <col min="7" max="7" width="11.81640625" customWidth="1"/>
    <col min="8" max="8" width="1.81640625" customWidth="1"/>
    <col min="9" max="9" width="3.1796875" customWidth="1"/>
    <col min="10" max="10" width="7" customWidth="1"/>
    <col min="11" max="11" width="31.36328125" customWidth="1"/>
    <col min="12" max="12" width="16.6328125" customWidth="1"/>
    <col min="13" max="13" width="16.90625" customWidth="1"/>
    <col min="14" max="14" width="7.81640625" customWidth="1"/>
    <col min="15" max="15" width="5.54296875" customWidth="1"/>
    <col min="16" max="16" width="0.54296875" customWidth="1"/>
    <col min="17" max="17" width="4.26953125" hidden="1" customWidth="1"/>
    <col min="18" max="18" width="3.1796875" customWidth="1"/>
    <col min="19" max="19" width="2.81640625" customWidth="1"/>
    <col min="20" max="20" width="4.54296875" customWidth="1"/>
    <col min="21" max="21" width="9.81640625" bestFit="1" customWidth="1"/>
    <col min="24" max="24" width="18.90625" customWidth="1"/>
    <col min="25" max="25" width="1.453125" customWidth="1"/>
    <col min="26" max="26" width="0.81640625" customWidth="1"/>
    <col min="27" max="27" width="15.1796875" customWidth="1"/>
    <col min="28" max="28" width="2.7265625" customWidth="1"/>
    <col min="29" max="29" width="4" customWidth="1"/>
    <col min="30" max="30" width="30.08984375" customWidth="1"/>
    <col min="31" max="31" width="11.1796875" customWidth="1"/>
    <col min="32" max="32" width="0.7265625" customWidth="1"/>
    <col min="33" max="33" width="6.81640625" customWidth="1"/>
    <col min="34" max="34" width="1.26953125" customWidth="1"/>
    <col min="35" max="35" width="1.1796875" customWidth="1"/>
  </cols>
  <sheetData>
    <row r="1" spans="1:36" ht="13.5" thickBot="1" x14ac:dyDescent="0.35">
      <c r="A1" s="46" t="s">
        <v>43</v>
      </c>
    </row>
    <row r="2" spans="1:36" ht="3.5" customHeight="1" x14ac:dyDescent="0.3">
      <c r="C2" s="207"/>
      <c r="D2" s="207"/>
      <c r="E2" s="207"/>
      <c r="F2" s="207"/>
      <c r="G2" s="207"/>
      <c r="H2" s="49"/>
      <c r="I2" s="50"/>
      <c r="J2" s="50"/>
      <c r="K2" s="50"/>
      <c r="L2" s="50"/>
      <c r="M2" s="50"/>
      <c r="N2" s="50"/>
      <c r="O2" s="50"/>
      <c r="P2" s="50"/>
      <c r="Q2" s="50"/>
      <c r="R2" s="50"/>
      <c r="S2" s="50"/>
      <c r="T2" s="50"/>
      <c r="U2" s="50"/>
      <c r="V2" s="50"/>
      <c r="W2" s="50"/>
      <c r="X2" s="50"/>
      <c r="Y2" s="50"/>
      <c r="Z2" s="51"/>
      <c r="AA2" s="207"/>
      <c r="AB2" s="207"/>
      <c r="AC2" s="207"/>
      <c r="AD2" s="207"/>
      <c r="AE2" s="207"/>
      <c r="AF2" s="207"/>
      <c r="AG2" s="207"/>
      <c r="AH2" s="207"/>
      <c r="AI2" s="207"/>
      <c r="AJ2" s="16"/>
    </row>
    <row r="3" spans="1:36" ht="38.5" customHeight="1" x14ac:dyDescent="0.35">
      <c r="C3" s="207"/>
      <c r="D3" s="256"/>
      <c r="E3" s="256"/>
      <c r="F3" s="256"/>
      <c r="G3" s="256"/>
      <c r="H3" s="257"/>
      <c r="I3" s="428" t="s">
        <v>607</v>
      </c>
      <c r="J3" s="428"/>
      <c r="K3" s="502" t="s">
        <v>492</v>
      </c>
      <c r="L3" s="502"/>
      <c r="M3" s="502"/>
      <c r="N3" s="502"/>
      <c r="O3" s="502"/>
      <c r="P3" s="502"/>
      <c r="Q3" s="502"/>
      <c r="R3" s="502"/>
      <c r="S3" s="502"/>
      <c r="T3" s="502"/>
      <c r="U3" s="502"/>
      <c r="V3" s="502"/>
      <c r="W3" s="502"/>
      <c r="X3" s="502"/>
      <c r="Y3" s="258"/>
      <c r="Z3" s="259"/>
      <c r="AA3" s="256"/>
      <c r="AB3" s="256"/>
      <c r="AC3" s="256"/>
      <c r="AD3" s="256"/>
      <c r="AE3" s="256"/>
      <c r="AF3" s="256"/>
      <c r="AG3" s="256"/>
      <c r="AH3" s="256"/>
      <c r="AI3" s="207"/>
      <c r="AJ3" s="16"/>
    </row>
    <row r="4" spans="1:36" ht="12.65" customHeight="1" x14ac:dyDescent="0.35">
      <c r="C4" s="207"/>
      <c r="D4" s="256"/>
      <c r="E4" s="256"/>
      <c r="F4" s="256"/>
      <c r="G4" s="256"/>
      <c r="H4" s="257"/>
      <c r="I4" s="497" t="s">
        <v>608</v>
      </c>
      <c r="J4" s="497"/>
      <c r="K4" s="497"/>
      <c r="L4" s="497"/>
      <c r="M4" s="497"/>
      <c r="N4" s="497"/>
      <c r="O4" s="497"/>
      <c r="P4" s="497"/>
      <c r="Q4" s="497"/>
      <c r="R4" s="497"/>
      <c r="S4" s="497"/>
      <c r="T4" s="497"/>
      <c r="U4" s="497"/>
      <c r="V4" s="497"/>
      <c r="W4" s="497"/>
      <c r="X4" s="497"/>
      <c r="Y4" s="260"/>
      <c r="Z4" s="259"/>
      <c r="AA4" s="256"/>
      <c r="AB4" s="256"/>
      <c r="AC4" s="256"/>
      <c r="AD4" s="256"/>
      <c r="AE4" s="256"/>
      <c r="AF4" s="256"/>
      <c r="AG4" s="256"/>
      <c r="AH4" s="256"/>
      <c r="AI4" s="207"/>
      <c r="AJ4" s="16"/>
    </row>
    <row r="5" spans="1:36" ht="15.5" x14ac:dyDescent="0.35">
      <c r="C5" s="207"/>
      <c r="D5" s="256"/>
      <c r="E5" s="256"/>
      <c r="F5" s="256"/>
      <c r="G5" s="256"/>
      <c r="H5" s="257"/>
      <c r="I5" s="497"/>
      <c r="J5" s="497"/>
      <c r="K5" s="497"/>
      <c r="L5" s="497"/>
      <c r="M5" s="497"/>
      <c r="N5" s="497"/>
      <c r="O5" s="497"/>
      <c r="P5" s="497"/>
      <c r="Q5" s="497"/>
      <c r="R5" s="497"/>
      <c r="S5" s="497"/>
      <c r="T5" s="497"/>
      <c r="U5" s="497"/>
      <c r="V5" s="497"/>
      <c r="W5" s="497"/>
      <c r="X5" s="497"/>
      <c r="Y5" s="260"/>
      <c r="Z5" s="259"/>
      <c r="AA5" s="256"/>
      <c r="AB5" s="256"/>
      <c r="AC5" s="256"/>
      <c r="AD5" s="256"/>
      <c r="AE5" s="256"/>
      <c r="AF5" s="256"/>
      <c r="AG5" s="256"/>
      <c r="AH5" s="256"/>
      <c r="AI5" s="207"/>
      <c r="AJ5" s="16"/>
    </row>
    <row r="6" spans="1:36" ht="62" customHeight="1" x14ac:dyDescent="0.35">
      <c r="C6" s="207"/>
      <c r="D6" s="256"/>
      <c r="E6" s="256"/>
      <c r="F6" s="256"/>
      <c r="G6" s="256"/>
      <c r="H6" s="257"/>
      <c r="I6" s="503"/>
      <c r="J6" s="503"/>
      <c r="K6" s="503"/>
      <c r="L6" s="503"/>
      <c r="M6" s="503"/>
      <c r="N6" s="503"/>
      <c r="O6" s="503"/>
      <c r="P6" s="503"/>
      <c r="Q6" s="503"/>
      <c r="R6" s="503"/>
      <c r="S6" s="503"/>
      <c r="T6" s="503"/>
      <c r="U6" s="503"/>
      <c r="V6" s="503"/>
      <c r="W6" s="503"/>
      <c r="X6" s="503"/>
      <c r="Y6" s="260"/>
      <c r="Z6" s="259"/>
      <c r="AA6" s="256"/>
      <c r="AB6" s="256"/>
      <c r="AC6" s="256"/>
      <c r="AD6" s="256"/>
      <c r="AE6" s="256"/>
      <c r="AF6" s="256"/>
      <c r="AG6" s="256"/>
      <c r="AH6" s="256"/>
      <c r="AI6" s="207"/>
      <c r="AJ6" s="16"/>
    </row>
    <row r="7" spans="1:36" ht="4" customHeight="1" x14ac:dyDescent="0.35">
      <c r="C7" s="207"/>
      <c r="D7" s="256"/>
      <c r="E7" s="256"/>
      <c r="F7" s="256"/>
      <c r="G7" s="256"/>
      <c r="H7" s="257"/>
      <c r="I7" s="56"/>
      <c r="J7" s="56"/>
      <c r="K7" s="56"/>
      <c r="L7" s="56"/>
      <c r="M7" s="261"/>
      <c r="N7" s="261"/>
      <c r="O7" s="261"/>
      <c r="P7" s="261"/>
      <c r="Q7" s="261"/>
      <c r="R7" s="261"/>
      <c r="S7" s="261"/>
      <c r="T7" s="261"/>
      <c r="U7" s="261"/>
      <c r="V7" s="261"/>
      <c r="W7" s="261"/>
      <c r="X7" s="261"/>
      <c r="Y7" s="261"/>
      <c r="Z7" s="259"/>
      <c r="AA7" s="256"/>
      <c r="AB7" s="256"/>
      <c r="AC7" s="256"/>
      <c r="AD7" s="256"/>
      <c r="AE7" s="256"/>
      <c r="AF7" s="256"/>
      <c r="AG7" s="256"/>
      <c r="AH7" s="256"/>
      <c r="AI7" s="207"/>
      <c r="AJ7" s="16"/>
    </row>
    <row r="8" spans="1:36" ht="15.5" x14ac:dyDescent="0.35">
      <c r="C8" s="207"/>
      <c r="D8" s="256"/>
      <c r="E8" s="256"/>
      <c r="F8" s="256"/>
      <c r="G8" s="256"/>
      <c r="H8" s="257"/>
      <c r="I8" s="56"/>
      <c r="J8" s="54" t="s">
        <v>5</v>
      </c>
      <c r="K8" s="447" t="s">
        <v>0</v>
      </c>
      <c r="L8" s="447"/>
      <c r="M8" s="447"/>
      <c r="N8" s="447"/>
      <c r="O8" s="447"/>
      <c r="P8" s="447"/>
      <c r="Q8" s="447"/>
      <c r="R8" s="447"/>
      <c r="S8" s="447"/>
      <c r="T8" s="447"/>
      <c r="U8" s="447"/>
      <c r="V8" s="161" t="s">
        <v>2</v>
      </c>
      <c r="W8" s="161"/>
      <c r="X8" s="161" t="s">
        <v>3</v>
      </c>
      <c r="Y8" s="250"/>
      <c r="Z8" s="259"/>
      <c r="AA8" s="256"/>
      <c r="AB8" s="256"/>
      <c r="AC8" s="256"/>
      <c r="AD8" s="256"/>
      <c r="AE8" s="256"/>
      <c r="AF8" s="256"/>
      <c r="AG8" s="256"/>
      <c r="AH8" s="256"/>
      <c r="AI8" s="207"/>
      <c r="AJ8" s="16"/>
    </row>
    <row r="9" spans="1:36" ht="3.65" customHeight="1" x14ac:dyDescent="0.35">
      <c r="C9" s="207"/>
      <c r="D9" s="256"/>
      <c r="E9" s="256"/>
      <c r="F9" s="256"/>
      <c r="G9" s="256"/>
      <c r="H9" s="257"/>
      <c r="I9" s="56"/>
      <c r="J9" s="56"/>
      <c r="K9" s="56"/>
      <c r="L9" s="56"/>
      <c r="M9" s="262"/>
      <c r="N9" s="262"/>
      <c r="O9" s="262"/>
      <c r="P9" s="262"/>
      <c r="Q9" s="262"/>
      <c r="R9" s="262"/>
      <c r="S9" s="262"/>
      <c r="T9" s="262"/>
      <c r="U9" s="262"/>
      <c r="V9" s="262"/>
      <c r="W9" s="262"/>
      <c r="X9" s="262"/>
      <c r="Y9" s="250"/>
      <c r="Z9" s="259"/>
      <c r="AA9" s="256"/>
      <c r="AB9" s="256"/>
      <c r="AC9" s="256"/>
      <c r="AD9" s="256"/>
      <c r="AE9" s="256"/>
      <c r="AF9" s="256"/>
      <c r="AG9" s="256"/>
      <c r="AH9" s="256"/>
      <c r="AI9" s="207"/>
      <c r="AJ9" s="16"/>
    </row>
    <row r="10" spans="1:36" ht="3.65" customHeight="1" x14ac:dyDescent="0.35">
      <c r="C10" s="207"/>
      <c r="D10" s="256"/>
      <c r="E10" s="256"/>
      <c r="F10" s="256"/>
      <c r="G10" s="256"/>
      <c r="H10" s="257"/>
      <c r="I10" s="56"/>
      <c r="J10" s="56"/>
      <c r="K10" s="56"/>
      <c r="L10" s="56"/>
      <c r="M10" s="262"/>
      <c r="N10" s="262"/>
      <c r="O10" s="262"/>
      <c r="P10" s="262"/>
      <c r="Q10" s="262"/>
      <c r="R10" s="262"/>
      <c r="S10" s="262"/>
      <c r="T10" s="262"/>
      <c r="U10" s="262"/>
      <c r="V10" s="262"/>
      <c r="W10" s="262"/>
      <c r="X10" s="262"/>
      <c r="Y10" s="250"/>
      <c r="Z10" s="259"/>
      <c r="AA10" s="256"/>
      <c r="AB10" s="256"/>
      <c r="AC10" s="256"/>
      <c r="AD10" s="256"/>
      <c r="AE10" s="256"/>
      <c r="AF10" s="256"/>
      <c r="AG10" s="256"/>
      <c r="AH10" s="256"/>
      <c r="AI10" s="207"/>
      <c r="AJ10" s="16"/>
    </row>
    <row r="11" spans="1:36" ht="15.5" x14ac:dyDescent="0.35">
      <c r="C11" s="207"/>
      <c r="D11" s="256"/>
      <c r="E11" s="256"/>
      <c r="F11" s="256"/>
      <c r="G11" s="256"/>
      <c r="H11" s="257"/>
      <c r="I11" s="56"/>
      <c r="J11" s="56" t="s">
        <v>592</v>
      </c>
      <c r="K11" s="447" t="s">
        <v>358</v>
      </c>
      <c r="L11" s="447"/>
      <c r="M11" s="447"/>
      <c r="N11" s="447"/>
      <c r="O11" s="447"/>
      <c r="P11" s="447"/>
      <c r="Q11" s="447"/>
      <c r="R11" s="447"/>
      <c r="S11" s="447"/>
      <c r="T11" s="447"/>
      <c r="U11" s="447"/>
      <c r="V11" s="263"/>
      <c r="W11" s="264"/>
      <c r="X11" s="265" t="s">
        <v>6</v>
      </c>
      <c r="Y11" s="250"/>
      <c r="Z11" s="259"/>
      <c r="AA11" s="256"/>
      <c r="AB11" s="256"/>
      <c r="AC11" s="256"/>
      <c r="AD11" s="266"/>
      <c r="AE11" s="266"/>
      <c r="AF11" s="256"/>
      <c r="AG11" s="256"/>
      <c r="AH11" s="256"/>
      <c r="AI11" s="207"/>
      <c r="AJ11" s="16"/>
    </row>
    <row r="12" spans="1:36" ht="15.5" x14ac:dyDescent="0.35">
      <c r="C12" s="207"/>
      <c r="D12" s="256"/>
      <c r="E12" s="256"/>
      <c r="F12" s="256"/>
      <c r="G12" s="256"/>
      <c r="H12" s="257"/>
      <c r="I12" s="56"/>
      <c r="J12" s="56"/>
      <c r="K12" s="447" t="s">
        <v>139</v>
      </c>
      <c r="L12" s="447"/>
      <c r="M12" s="447"/>
      <c r="N12" s="447"/>
      <c r="O12" s="267"/>
      <c r="P12" s="267"/>
      <c r="Q12" s="267"/>
      <c r="R12" s="56"/>
      <c r="S12" s="56"/>
      <c r="T12" s="56"/>
      <c r="U12" s="262"/>
      <c r="V12" s="554">
        <v>1.8759999999999999</v>
      </c>
      <c r="W12" s="269"/>
      <c r="X12" s="270" t="s">
        <v>7</v>
      </c>
      <c r="Y12" s="250"/>
      <c r="Z12" s="259"/>
      <c r="AA12" s="256"/>
      <c r="AB12" s="256"/>
      <c r="AC12" s="256"/>
      <c r="AD12" s="266"/>
      <c r="AE12" s="266"/>
      <c r="AF12" s="256"/>
      <c r="AG12" s="256"/>
      <c r="AH12" s="256"/>
      <c r="AI12" s="207"/>
      <c r="AJ12" s="16"/>
    </row>
    <row r="13" spans="1:36" ht="15.5" x14ac:dyDescent="0.35">
      <c r="C13" s="207"/>
      <c r="D13" s="256"/>
      <c r="E13" s="256"/>
      <c r="F13" s="256"/>
      <c r="G13" s="256"/>
      <c r="H13" s="257"/>
      <c r="I13" s="56"/>
      <c r="J13" s="56"/>
      <c r="K13" s="159"/>
      <c r="L13" s="159"/>
      <c r="M13" s="159"/>
      <c r="N13" s="159"/>
      <c r="O13" s="267"/>
      <c r="P13" s="267"/>
      <c r="Q13" s="267"/>
      <c r="R13" s="56"/>
      <c r="S13" s="56"/>
      <c r="T13" s="56"/>
      <c r="U13" s="262"/>
      <c r="V13" s="269"/>
      <c r="W13" s="269"/>
      <c r="X13" s="270"/>
      <c r="Y13" s="250"/>
      <c r="Z13" s="259"/>
      <c r="AA13" s="256"/>
      <c r="AB13" s="256"/>
      <c r="AC13" s="256"/>
      <c r="AD13" s="266"/>
      <c r="AE13" s="266"/>
      <c r="AF13" s="256"/>
      <c r="AG13" s="256"/>
      <c r="AH13" s="256"/>
      <c r="AI13" s="207"/>
      <c r="AJ13" s="16"/>
    </row>
    <row r="14" spans="1:36" ht="26.5" customHeight="1" x14ac:dyDescent="0.35">
      <c r="C14" s="207"/>
      <c r="D14" s="256"/>
      <c r="E14" s="256"/>
      <c r="F14" s="256"/>
      <c r="G14" s="256"/>
      <c r="H14" s="257"/>
      <c r="I14" s="56"/>
      <c r="J14" s="56" t="s">
        <v>593</v>
      </c>
      <c r="K14" s="425" t="s">
        <v>609</v>
      </c>
      <c r="L14" s="425"/>
      <c r="M14" s="425"/>
      <c r="N14" s="425"/>
      <c r="O14" s="425"/>
      <c r="P14" s="425"/>
      <c r="Q14" s="425"/>
      <c r="R14" s="425"/>
      <c r="S14" s="425"/>
      <c r="T14" s="425"/>
      <c r="U14" s="425"/>
      <c r="V14" s="263"/>
      <c r="W14" s="264"/>
      <c r="X14" s="265" t="s">
        <v>6</v>
      </c>
      <c r="Y14" s="250"/>
      <c r="Z14" s="259"/>
      <c r="AA14" s="256"/>
      <c r="AB14" s="256"/>
      <c r="AC14" s="256"/>
      <c r="AD14" s="266"/>
      <c r="AE14" s="266"/>
      <c r="AF14" s="256"/>
      <c r="AG14" s="256"/>
      <c r="AH14" s="256"/>
      <c r="AI14" s="207"/>
      <c r="AJ14" s="16"/>
    </row>
    <row r="15" spans="1:36" ht="15.5" x14ac:dyDescent="0.35">
      <c r="C15" s="207"/>
      <c r="D15" s="256"/>
      <c r="E15" s="256"/>
      <c r="F15" s="256"/>
      <c r="G15" s="256"/>
      <c r="H15" s="257"/>
      <c r="I15" s="56"/>
      <c r="J15" s="56"/>
      <c r="K15" s="447" t="s">
        <v>139</v>
      </c>
      <c r="L15" s="447"/>
      <c r="M15" s="447"/>
      <c r="N15" s="447"/>
      <c r="O15" s="447"/>
      <c r="P15" s="447"/>
      <c r="Q15" s="447"/>
      <c r="R15" s="447"/>
      <c r="S15" s="447"/>
      <c r="T15" s="447"/>
      <c r="U15" s="447"/>
      <c r="V15" s="268">
        <v>1.65</v>
      </c>
      <c r="W15" s="269"/>
      <c r="X15" s="270" t="s">
        <v>7</v>
      </c>
      <c r="Y15" s="250"/>
      <c r="Z15" s="259"/>
      <c r="AA15" s="256"/>
      <c r="AB15" s="256"/>
      <c r="AC15" s="256"/>
      <c r="AD15" s="266"/>
      <c r="AE15" s="266"/>
      <c r="AF15" s="256"/>
      <c r="AG15" s="256"/>
      <c r="AH15" s="256"/>
      <c r="AI15" s="207"/>
      <c r="AJ15" s="16"/>
    </row>
    <row r="16" spans="1:36" ht="15.5" x14ac:dyDescent="0.35">
      <c r="C16" s="207"/>
      <c r="D16" s="256"/>
      <c r="E16" s="256"/>
      <c r="F16" s="256"/>
      <c r="G16" s="256"/>
      <c r="H16" s="257"/>
      <c r="I16" s="56"/>
      <c r="J16" s="56"/>
      <c r="K16" s="159"/>
      <c r="L16" s="159"/>
      <c r="M16" s="159"/>
      <c r="N16" s="159"/>
      <c r="O16" s="267"/>
      <c r="P16" s="267"/>
      <c r="Q16" s="267"/>
      <c r="R16" s="56"/>
      <c r="S16" s="56"/>
      <c r="T16" s="56"/>
      <c r="U16" s="262"/>
      <c r="V16" s="269"/>
      <c r="W16" s="269"/>
      <c r="X16" s="270"/>
      <c r="Y16" s="250"/>
      <c r="Z16" s="259"/>
      <c r="AA16" s="256"/>
      <c r="AB16" s="256"/>
      <c r="AC16" s="256"/>
      <c r="AD16" s="266"/>
      <c r="AE16" s="266"/>
      <c r="AF16" s="256"/>
      <c r="AG16" s="256"/>
      <c r="AH16" s="256"/>
      <c r="AI16" s="207"/>
      <c r="AJ16" s="16"/>
    </row>
    <row r="17" spans="2:36" ht="15.5" x14ac:dyDescent="0.35">
      <c r="C17" s="207"/>
      <c r="D17" s="256"/>
      <c r="E17" s="256"/>
      <c r="F17" s="256"/>
      <c r="G17" s="256"/>
      <c r="H17" s="257"/>
      <c r="I17" s="56"/>
      <c r="J17" s="56" t="s">
        <v>594</v>
      </c>
      <c r="K17" s="447" t="s">
        <v>231</v>
      </c>
      <c r="L17" s="447"/>
      <c r="M17" s="447"/>
      <c r="N17" s="447"/>
      <c r="O17" s="447"/>
      <c r="P17" s="447"/>
      <c r="Q17" s="447"/>
      <c r="R17" s="447"/>
      <c r="S17" s="447"/>
      <c r="T17" s="447"/>
      <c r="U17" s="447"/>
      <c r="V17" s="263"/>
      <c r="W17" s="264"/>
      <c r="X17" s="265" t="s">
        <v>6</v>
      </c>
      <c r="Y17" s="250"/>
      <c r="Z17" s="259"/>
      <c r="AA17" s="256"/>
      <c r="AB17" s="256"/>
      <c r="AC17" s="256"/>
      <c r="AD17" s="266"/>
      <c r="AE17" s="266"/>
      <c r="AF17" s="256"/>
      <c r="AG17" s="256"/>
      <c r="AH17" s="256"/>
      <c r="AI17" s="207"/>
      <c r="AJ17" s="16"/>
    </row>
    <row r="18" spans="2:36" ht="15.5" x14ac:dyDescent="0.35">
      <c r="C18" s="207"/>
      <c r="D18" s="256"/>
      <c r="E18" s="256"/>
      <c r="F18" s="256"/>
      <c r="G18" s="256"/>
      <c r="H18" s="257"/>
      <c r="I18" s="56"/>
      <c r="J18" s="56"/>
      <c r="K18" s="447" t="s">
        <v>139</v>
      </c>
      <c r="L18" s="447"/>
      <c r="M18" s="447"/>
      <c r="N18" s="447"/>
      <c r="O18" s="447"/>
      <c r="P18" s="447"/>
      <c r="Q18" s="447"/>
      <c r="R18" s="447"/>
      <c r="S18" s="447"/>
      <c r="T18" s="447"/>
      <c r="U18" s="447"/>
      <c r="V18" s="268">
        <v>1.65</v>
      </c>
      <c r="W18" s="269"/>
      <c r="X18" s="270" t="s">
        <v>7</v>
      </c>
      <c r="Y18" s="250"/>
      <c r="Z18" s="259"/>
      <c r="AA18" s="256"/>
      <c r="AB18" s="256"/>
      <c r="AC18" s="256"/>
      <c r="AD18" s="266"/>
      <c r="AE18" s="266"/>
      <c r="AF18" s="256"/>
      <c r="AG18" s="256"/>
      <c r="AH18" s="256"/>
      <c r="AI18" s="207"/>
      <c r="AJ18" s="16"/>
    </row>
    <row r="19" spans="2:36" ht="15.5" x14ac:dyDescent="0.35">
      <c r="C19" s="207"/>
      <c r="D19" s="256"/>
      <c r="E19" s="256"/>
      <c r="F19" s="256"/>
      <c r="G19" s="256"/>
      <c r="H19" s="257"/>
      <c r="I19" s="56"/>
      <c r="J19" s="56"/>
      <c r="K19" s="447" t="s">
        <v>232</v>
      </c>
      <c r="L19" s="447"/>
      <c r="M19" s="447"/>
      <c r="N19" s="447"/>
      <c r="O19" s="447"/>
      <c r="P19" s="447"/>
      <c r="Q19" s="447"/>
      <c r="R19" s="447"/>
      <c r="S19" s="447"/>
      <c r="T19" s="447"/>
      <c r="U19" s="447"/>
      <c r="V19" s="263"/>
      <c r="W19" s="264"/>
      <c r="X19" s="270" t="s">
        <v>230</v>
      </c>
      <c r="Y19" s="250"/>
      <c r="Z19" s="259"/>
      <c r="AA19" s="256"/>
      <c r="AB19" s="256"/>
      <c r="AC19" s="256"/>
      <c r="AD19" s="266"/>
      <c r="AE19" s="266"/>
      <c r="AF19" s="256"/>
      <c r="AG19" s="256"/>
      <c r="AH19" s="256"/>
      <c r="AI19" s="207"/>
      <c r="AJ19" s="16"/>
    </row>
    <row r="20" spans="2:36" ht="12.65" customHeight="1" x14ac:dyDescent="0.35">
      <c r="C20" s="207"/>
      <c r="D20" s="256"/>
      <c r="E20" s="256"/>
      <c r="F20" s="256"/>
      <c r="G20" s="256"/>
      <c r="H20" s="257"/>
      <c r="I20" s="56"/>
      <c r="J20" s="56"/>
      <c r="K20" s="447" t="s">
        <v>233</v>
      </c>
      <c r="L20" s="447"/>
      <c r="M20" s="447"/>
      <c r="N20" s="447"/>
      <c r="O20" s="447"/>
      <c r="P20" s="447"/>
      <c r="Q20" s="447"/>
      <c r="R20" s="447"/>
      <c r="S20" s="447"/>
      <c r="T20" s="447"/>
      <c r="U20" s="447"/>
      <c r="V20" s="263"/>
      <c r="W20" s="264"/>
      <c r="X20" s="265" t="s">
        <v>55</v>
      </c>
      <c r="Y20" s="250"/>
      <c r="Z20" s="259"/>
      <c r="AA20" s="256"/>
      <c r="AB20" s="256"/>
      <c r="AC20" s="256"/>
      <c r="AD20" s="266"/>
      <c r="AE20" s="266"/>
      <c r="AF20" s="256"/>
      <c r="AG20" s="256"/>
      <c r="AH20" s="256"/>
      <c r="AI20" s="207"/>
      <c r="AJ20" s="16"/>
    </row>
    <row r="21" spans="2:36" ht="8.5" customHeight="1" x14ac:dyDescent="0.35">
      <c r="C21" s="207"/>
      <c r="D21" s="256"/>
      <c r="E21" s="256"/>
      <c r="F21" s="256"/>
      <c r="G21" s="256"/>
      <c r="H21" s="257"/>
      <c r="I21" s="56"/>
      <c r="J21" s="56"/>
      <c r="K21" s="56"/>
      <c r="L21" s="56"/>
      <c r="M21" s="56"/>
      <c r="N21" s="56"/>
      <c r="O21" s="56"/>
      <c r="P21" s="56"/>
      <c r="Q21" s="56"/>
      <c r="R21" s="56"/>
      <c r="S21" s="56"/>
      <c r="T21" s="56"/>
      <c r="U21" s="262"/>
      <c r="V21" s="161"/>
      <c r="W21" s="161"/>
      <c r="X21" s="265"/>
      <c r="Y21" s="250"/>
      <c r="Z21" s="259"/>
      <c r="AA21" s="256"/>
      <c r="AB21" s="256"/>
      <c r="AC21" s="256"/>
      <c r="AD21" s="266"/>
      <c r="AE21" s="266"/>
      <c r="AF21" s="256"/>
      <c r="AG21" s="256"/>
      <c r="AH21" s="256"/>
      <c r="AI21" s="207"/>
      <c r="AJ21" s="16"/>
    </row>
    <row r="22" spans="2:36" ht="15" customHeight="1" x14ac:dyDescent="0.35">
      <c r="C22" s="207"/>
      <c r="D22" s="256"/>
      <c r="E22" s="256"/>
      <c r="F22" s="256"/>
      <c r="G22" s="256"/>
      <c r="H22" s="257"/>
      <c r="I22" s="56"/>
      <c r="J22" s="56"/>
      <c r="K22" s="498" t="s">
        <v>1</v>
      </c>
      <c r="L22" s="498"/>
      <c r="M22" s="498"/>
      <c r="N22" s="498"/>
      <c r="O22" s="498"/>
      <c r="P22" s="498"/>
      <c r="Q22" s="498"/>
      <c r="R22" s="498"/>
      <c r="S22" s="498"/>
      <c r="T22" s="498"/>
      <c r="U22" s="498"/>
      <c r="V22" s="416">
        <f>(V11*V12)+(IF(V14&gt;0,6+(V14*V15),0))+((V17*V18)*(V19/52)*(V20/100))</f>
        <v>0</v>
      </c>
      <c r="W22" s="271"/>
      <c r="X22" s="272" t="s">
        <v>4</v>
      </c>
      <c r="Y22" s="250"/>
      <c r="Z22" s="259"/>
      <c r="AA22" s="256"/>
      <c r="AB22" s="256"/>
      <c r="AC22" s="256"/>
      <c r="AD22" s="273"/>
      <c r="AE22" s="273"/>
      <c r="AF22" s="256"/>
      <c r="AG22" s="256"/>
      <c r="AH22" s="256"/>
      <c r="AI22" s="207"/>
      <c r="AJ22" s="16"/>
    </row>
    <row r="23" spans="2:36" ht="15" customHeight="1" x14ac:dyDescent="0.35">
      <c r="C23" s="207"/>
      <c r="D23" s="256"/>
      <c r="E23" s="256"/>
      <c r="F23" s="256"/>
      <c r="G23" s="256"/>
      <c r="H23" s="257"/>
      <c r="I23" s="274"/>
      <c r="J23" s="274"/>
      <c r="K23" s="275"/>
      <c r="L23" s="275"/>
      <c r="M23" s="275"/>
      <c r="N23" s="275"/>
      <c r="O23" s="275"/>
      <c r="P23" s="275"/>
      <c r="Q23" s="275"/>
      <c r="R23" s="275"/>
      <c r="S23" s="275"/>
      <c r="T23" s="275"/>
      <c r="U23" s="275"/>
      <c r="V23" s="276"/>
      <c r="W23" s="276"/>
      <c r="X23" s="277"/>
      <c r="Y23" s="250"/>
      <c r="Z23" s="259"/>
      <c r="AA23" s="256"/>
      <c r="AB23" s="256"/>
      <c r="AC23" s="256"/>
      <c r="AD23" s="273"/>
      <c r="AE23" s="273"/>
      <c r="AF23" s="256"/>
      <c r="AG23" s="256"/>
      <c r="AH23" s="256"/>
      <c r="AI23" s="207"/>
      <c r="AJ23" s="16"/>
    </row>
    <row r="24" spans="2:36" ht="15" customHeight="1" x14ac:dyDescent="0.35">
      <c r="C24" s="207"/>
      <c r="D24" s="256"/>
      <c r="E24" s="256"/>
      <c r="F24" s="256"/>
      <c r="G24" s="256"/>
      <c r="H24" s="257"/>
      <c r="I24" s="56"/>
      <c r="J24" s="56"/>
      <c r="K24" s="218"/>
      <c r="L24" s="218"/>
      <c r="M24" s="218"/>
      <c r="N24" s="218"/>
      <c r="O24" s="218"/>
      <c r="P24" s="218"/>
      <c r="Q24" s="218"/>
      <c r="R24" s="218"/>
      <c r="S24" s="218"/>
      <c r="T24" s="218"/>
      <c r="U24" s="218"/>
      <c r="V24" s="271"/>
      <c r="W24" s="271"/>
      <c r="X24" s="272"/>
      <c r="Y24" s="250"/>
      <c r="Z24" s="259"/>
      <c r="AA24" s="256"/>
      <c r="AB24" s="256"/>
      <c r="AC24" s="256"/>
      <c r="AD24" s="273"/>
      <c r="AE24" s="273"/>
      <c r="AF24" s="256"/>
      <c r="AG24" s="256"/>
      <c r="AH24" s="256"/>
      <c r="AI24" s="207"/>
      <c r="AJ24" s="16"/>
    </row>
    <row r="25" spans="2:36" ht="15" customHeight="1" x14ac:dyDescent="0.35">
      <c r="C25" s="207"/>
      <c r="D25" s="256"/>
      <c r="E25" s="256"/>
      <c r="F25" s="256"/>
      <c r="G25" s="256"/>
      <c r="H25" s="257"/>
      <c r="I25" s="56"/>
      <c r="J25" s="54" t="s">
        <v>8</v>
      </c>
      <c r="K25" s="425" t="s">
        <v>361</v>
      </c>
      <c r="L25" s="425"/>
      <c r="M25" s="425"/>
      <c r="N25" s="425"/>
      <c r="O25" s="218"/>
      <c r="P25" s="218"/>
      <c r="Q25" s="218"/>
      <c r="R25" s="218"/>
      <c r="S25" s="218"/>
      <c r="T25" s="218"/>
      <c r="U25" s="218"/>
      <c r="V25" s="271"/>
      <c r="W25" s="271"/>
      <c r="X25" s="272"/>
      <c r="Y25" s="250"/>
      <c r="Z25" s="259"/>
      <c r="AA25" s="256"/>
      <c r="AB25" s="256"/>
      <c r="AC25" s="256"/>
      <c r="AD25" s="273"/>
      <c r="AE25" s="273"/>
      <c r="AF25" s="256"/>
      <c r="AG25" s="256"/>
      <c r="AH25" s="256"/>
      <c r="AI25" s="207"/>
      <c r="AJ25" s="16"/>
    </row>
    <row r="26" spans="2:36" ht="15" customHeight="1" x14ac:dyDescent="0.35">
      <c r="C26" s="207"/>
      <c r="D26" s="256"/>
      <c r="E26" s="256"/>
      <c r="F26" s="256"/>
      <c r="G26" s="256"/>
      <c r="H26" s="257"/>
      <c r="I26" s="56"/>
      <c r="J26" s="56"/>
      <c r="K26" s="218"/>
      <c r="L26" s="218"/>
      <c r="M26" s="218"/>
      <c r="N26" s="218"/>
      <c r="O26" s="218"/>
      <c r="P26" s="218"/>
      <c r="Q26" s="218"/>
      <c r="R26" s="218"/>
      <c r="S26" s="218"/>
      <c r="T26" s="218"/>
      <c r="U26" s="218"/>
      <c r="V26" s="271"/>
      <c r="W26" s="271"/>
      <c r="X26" s="272"/>
      <c r="Y26" s="250"/>
      <c r="Z26" s="259"/>
      <c r="AA26" s="256"/>
      <c r="AB26" s="256"/>
      <c r="AC26" s="256"/>
      <c r="AD26" s="273"/>
      <c r="AE26" s="273"/>
      <c r="AF26" s="256"/>
      <c r="AG26" s="256"/>
      <c r="AH26" s="256"/>
      <c r="AI26" s="207"/>
      <c r="AJ26" s="16"/>
    </row>
    <row r="27" spans="2:36" ht="15" customHeight="1" x14ac:dyDescent="0.35">
      <c r="C27" s="207"/>
      <c r="D27" s="256"/>
      <c r="E27" s="256"/>
      <c r="F27" s="256"/>
      <c r="G27" s="256"/>
      <c r="H27" s="257"/>
      <c r="I27" s="56"/>
      <c r="J27" s="56"/>
      <c r="K27" s="447" t="s">
        <v>9</v>
      </c>
      <c r="L27" s="447"/>
      <c r="M27" s="447"/>
      <c r="N27" s="447"/>
      <c r="O27" s="218"/>
      <c r="P27" s="218"/>
      <c r="Q27" s="218"/>
      <c r="R27" s="218"/>
      <c r="S27" s="218"/>
      <c r="T27" s="218"/>
      <c r="U27" s="218"/>
      <c r="V27" s="415">
        <v>110</v>
      </c>
      <c r="W27" s="271"/>
      <c r="X27" s="500" t="s">
        <v>60</v>
      </c>
      <c r="Y27" s="500"/>
      <c r="Z27" s="259"/>
      <c r="AA27" s="256"/>
      <c r="AB27" s="256"/>
      <c r="AC27" s="256"/>
      <c r="AD27" s="273"/>
      <c r="AE27" s="273"/>
      <c r="AF27" s="256"/>
      <c r="AG27" s="256"/>
      <c r="AH27" s="256"/>
      <c r="AI27" s="207"/>
      <c r="AJ27" s="16"/>
    </row>
    <row r="28" spans="2:36" ht="15" customHeight="1" x14ac:dyDescent="0.35">
      <c r="C28" s="207"/>
      <c r="D28" s="256"/>
      <c r="E28" s="256"/>
      <c r="F28" s="256"/>
      <c r="G28" s="256"/>
      <c r="H28" s="257"/>
      <c r="I28" s="56"/>
      <c r="J28" s="56"/>
      <c r="K28" s="218"/>
      <c r="L28" s="218"/>
      <c r="M28" s="218"/>
      <c r="N28" s="218"/>
      <c r="O28" s="218"/>
      <c r="P28" s="218"/>
      <c r="Q28" s="218"/>
      <c r="R28" s="218"/>
      <c r="S28" s="218"/>
      <c r="T28" s="218"/>
      <c r="U28" s="218"/>
      <c r="V28" s="271"/>
      <c r="W28" s="271"/>
      <c r="X28" s="272"/>
      <c r="Y28" s="250"/>
      <c r="Z28" s="259"/>
      <c r="AA28" s="256"/>
      <c r="AB28" s="256"/>
      <c r="AC28" s="256"/>
      <c r="AD28" s="273"/>
      <c r="AE28" s="273"/>
      <c r="AF28" s="256"/>
      <c r="AG28" s="256"/>
      <c r="AH28" s="256"/>
      <c r="AI28" s="207"/>
      <c r="AJ28" s="16"/>
    </row>
    <row r="29" spans="2:36" ht="15.5" x14ac:dyDescent="0.35">
      <c r="C29" s="207"/>
      <c r="D29" s="256"/>
      <c r="E29" s="256"/>
      <c r="F29" s="256"/>
      <c r="G29" s="256"/>
      <c r="H29" s="257"/>
      <c r="I29" s="56"/>
      <c r="J29" s="56"/>
      <c r="K29" s="495" t="s">
        <v>11</v>
      </c>
      <c r="L29" s="495"/>
      <c r="M29" s="495"/>
      <c r="N29" s="495"/>
      <c r="O29" s="495"/>
      <c r="P29" s="495"/>
      <c r="Q29" s="495"/>
      <c r="R29" s="495"/>
      <c r="S29" s="56"/>
      <c r="T29" s="56"/>
      <c r="U29" s="56"/>
      <c r="V29" s="278">
        <f>V27*V22</f>
        <v>0</v>
      </c>
      <c r="W29" s="271"/>
      <c r="X29" s="272" t="s">
        <v>10</v>
      </c>
      <c r="Y29" s="250"/>
      <c r="Z29" s="259"/>
      <c r="AA29" s="256"/>
      <c r="AB29" s="256"/>
      <c r="AC29" s="256"/>
      <c r="AD29" s="273"/>
      <c r="AE29" s="273"/>
      <c r="AF29" s="256"/>
      <c r="AG29" s="256"/>
      <c r="AH29" s="256"/>
      <c r="AI29" s="207"/>
      <c r="AJ29" s="16"/>
    </row>
    <row r="30" spans="2:36" ht="16" customHeight="1" x14ac:dyDescent="0.35">
      <c r="C30" s="207"/>
      <c r="D30" s="256"/>
      <c r="E30" s="256"/>
      <c r="F30" s="256"/>
      <c r="G30" s="256"/>
      <c r="H30" s="257"/>
      <c r="I30" s="497"/>
      <c r="J30" s="497"/>
      <c r="K30" s="497"/>
      <c r="L30" s="497"/>
      <c r="M30" s="497"/>
      <c r="N30" s="497"/>
      <c r="O30" s="497"/>
      <c r="P30" s="497"/>
      <c r="Q30" s="497"/>
      <c r="R30" s="497"/>
      <c r="S30" s="497"/>
      <c r="T30" s="497"/>
      <c r="U30" s="497"/>
      <c r="V30" s="497"/>
      <c r="W30" s="497"/>
      <c r="X30" s="497"/>
      <c r="Y30" s="260"/>
      <c r="Z30" s="259"/>
      <c r="AA30" s="256"/>
      <c r="AB30" s="256"/>
      <c r="AC30" s="256"/>
      <c r="AD30" s="273"/>
      <c r="AE30" s="273"/>
      <c r="AF30" s="256"/>
      <c r="AG30" s="256"/>
      <c r="AH30" s="256"/>
      <c r="AI30" s="207"/>
      <c r="AJ30" s="16"/>
    </row>
    <row r="31" spans="2:36" ht="11.15" customHeight="1" thickBot="1" x14ac:dyDescent="0.4">
      <c r="C31" s="208"/>
      <c r="D31" s="279"/>
      <c r="E31" s="279"/>
      <c r="F31" s="279"/>
      <c r="G31" s="280"/>
      <c r="H31" s="257"/>
      <c r="I31" s="56"/>
      <c r="J31" s="56"/>
      <c r="K31" s="56"/>
      <c r="L31" s="56"/>
      <c r="M31" s="281"/>
      <c r="N31" s="281"/>
      <c r="O31" s="281"/>
      <c r="P31" s="281"/>
      <c r="Q31" s="281"/>
      <c r="R31" s="281"/>
      <c r="S31" s="281"/>
      <c r="T31" s="281"/>
      <c r="U31" s="281"/>
      <c r="V31" s="281"/>
      <c r="W31" s="281"/>
      <c r="X31" s="281"/>
      <c r="Y31" s="282"/>
      <c r="Z31" s="259"/>
      <c r="AA31" s="279"/>
      <c r="AB31" s="279"/>
      <c r="AC31" s="279"/>
      <c r="AD31" s="283"/>
      <c r="AE31" s="283"/>
      <c r="AF31" s="279"/>
      <c r="AG31" s="279"/>
      <c r="AH31" s="279"/>
      <c r="AI31" s="87"/>
      <c r="AJ31" s="16"/>
    </row>
    <row r="32" spans="2:36" ht="53.5" customHeight="1" x14ac:dyDescent="0.3">
      <c r="B32" s="1"/>
      <c r="C32" s="49"/>
      <c r="D32" s="56"/>
      <c r="E32" s="56"/>
      <c r="F32" s="56"/>
      <c r="G32" s="56"/>
      <c r="H32" s="56"/>
      <c r="I32" s="425" t="s">
        <v>534</v>
      </c>
      <c r="J32" s="425"/>
      <c r="K32" s="425"/>
      <c r="L32" s="425"/>
      <c r="M32" s="425"/>
      <c r="N32" s="425"/>
      <c r="O32" s="425"/>
      <c r="P32" s="425"/>
      <c r="Q32" s="425"/>
      <c r="R32" s="425"/>
      <c r="S32" s="425"/>
      <c r="T32" s="425"/>
      <c r="U32" s="425"/>
      <c r="V32" s="425"/>
      <c r="W32" s="425"/>
      <c r="X32" s="425"/>
      <c r="Y32" s="281"/>
      <c r="Z32" s="56"/>
      <c r="AA32" s="56"/>
      <c r="AB32" s="56"/>
      <c r="AC32" s="56"/>
      <c r="AD32" s="161"/>
      <c r="AE32" s="161"/>
      <c r="AF32" s="56"/>
      <c r="AG32" s="56"/>
      <c r="AH32" s="56"/>
      <c r="AI32" s="51"/>
      <c r="AJ32" s="38"/>
    </row>
    <row r="33" spans="2:50" ht="11.15" customHeight="1" x14ac:dyDescent="0.3">
      <c r="B33" s="20"/>
      <c r="C33" s="48"/>
      <c r="D33" s="56"/>
      <c r="E33" s="56"/>
      <c r="F33" s="56"/>
      <c r="G33" s="56"/>
      <c r="H33" s="56"/>
      <c r="I33" s="56"/>
      <c r="J33" s="56"/>
      <c r="K33" s="56"/>
      <c r="L33" s="56"/>
      <c r="M33" s="281"/>
      <c r="N33" s="281"/>
      <c r="O33" s="281"/>
      <c r="P33" s="281"/>
      <c r="Q33" s="281"/>
      <c r="R33" s="281"/>
      <c r="S33" s="281"/>
      <c r="T33" s="281"/>
      <c r="U33" s="281"/>
      <c r="V33" s="281"/>
      <c r="W33" s="281"/>
      <c r="X33" s="281"/>
      <c r="Y33" s="281"/>
      <c r="Z33" s="56"/>
      <c r="AA33" s="56"/>
      <c r="AB33" s="56"/>
      <c r="AC33" s="56"/>
      <c r="AD33" s="161"/>
      <c r="AE33" s="161"/>
      <c r="AF33" s="56"/>
      <c r="AG33" s="56"/>
      <c r="AH33" s="56"/>
      <c r="AI33" s="53"/>
      <c r="AJ33" s="38"/>
    </row>
    <row r="34" spans="2:50" ht="15" customHeight="1" x14ac:dyDescent="0.3">
      <c r="B34" s="20"/>
      <c r="C34" s="48"/>
      <c r="D34" s="56"/>
      <c r="E34" s="447" t="s">
        <v>535</v>
      </c>
      <c r="F34" s="447"/>
      <c r="G34" s="447"/>
      <c r="H34" s="447"/>
      <c r="I34" s="447"/>
      <c r="J34" s="447"/>
      <c r="K34" s="447"/>
      <c r="L34" s="159"/>
      <c r="M34" s="281"/>
      <c r="N34" s="284" t="s">
        <v>13</v>
      </c>
      <c r="O34" s="281"/>
      <c r="P34" s="281"/>
      <c r="Q34" s="281"/>
      <c r="R34" s="281"/>
      <c r="S34" s="281"/>
      <c r="T34" s="281"/>
      <c r="U34" s="281"/>
      <c r="V34" s="499" t="s">
        <v>359</v>
      </c>
      <c r="W34" s="499"/>
      <c r="X34" s="499"/>
      <c r="Y34" s="499"/>
      <c r="Z34" s="499"/>
      <c r="AA34" s="499"/>
      <c r="AB34" s="499"/>
      <c r="AC34" s="499"/>
      <c r="AD34" s="263" t="s">
        <v>62</v>
      </c>
      <c r="AE34" s="264"/>
      <c r="AF34" s="56"/>
      <c r="AG34" s="56"/>
      <c r="AH34" s="56"/>
      <c r="AI34" s="53"/>
    </row>
    <row r="35" spans="2:50" ht="11.15" customHeight="1" x14ac:dyDescent="0.3">
      <c r="B35" s="20"/>
      <c r="C35" s="55"/>
      <c r="D35" s="262"/>
      <c r="E35" s="447"/>
      <c r="F35" s="447"/>
      <c r="G35" s="447"/>
      <c r="H35" s="447"/>
      <c r="I35" s="447"/>
      <c r="J35" s="447"/>
      <c r="K35" s="447"/>
      <c r="L35" s="159"/>
      <c r="M35" s="281"/>
      <c r="N35" s="281"/>
      <c r="O35" s="281"/>
      <c r="P35" s="281"/>
      <c r="Q35" s="281"/>
      <c r="R35" s="281"/>
      <c r="S35" s="281"/>
      <c r="T35" s="281"/>
      <c r="U35" s="281"/>
      <c r="V35" s="281"/>
      <c r="W35" s="281"/>
      <c r="X35" s="281"/>
      <c r="Y35" s="281"/>
      <c r="Z35" s="56"/>
      <c r="AA35" s="56"/>
      <c r="AB35" s="56"/>
      <c r="AC35" s="56"/>
      <c r="AD35" s="161"/>
      <c r="AE35" s="161"/>
      <c r="AF35" s="56"/>
      <c r="AG35" s="262"/>
      <c r="AH35" s="262"/>
      <c r="AI35" s="53"/>
    </row>
    <row r="36" spans="2:50" ht="27.65" customHeight="1" x14ac:dyDescent="0.3">
      <c r="C36" s="52"/>
      <c r="D36" s="159" t="s">
        <v>377</v>
      </c>
      <c r="E36" s="428" t="s">
        <v>517</v>
      </c>
      <c r="F36" s="428"/>
      <c r="G36" s="428"/>
      <c r="H36" s="428"/>
      <c r="I36" s="428"/>
      <c r="J36" s="428"/>
      <c r="K36" s="428"/>
      <c r="L36" s="428"/>
      <c r="M36" s="428"/>
      <c r="N36" s="428"/>
      <c r="O36" s="428"/>
      <c r="P36" s="428"/>
      <c r="Q36" s="428"/>
      <c r="R36" s="285"/>
      <c r="S36" s="56"/>
      <c r="T36" s="159" t="s">
        <v>378</v>
      </c>
      <c r="U36" s="501" t="s">
        <v>364</v>
      </c>
      <c r="V36" s="501"/>
      <c r="W36" s="501"/>
      <c r="X36" s="501"/>
      <c r="Y36" s="501"/>
      <c r="Z36" s="501"/>
      <c r="AA36" s="501"/>
      <c r="AB36" s="501"/>
      <c r="AC36" s="501"/>
      <c r="AD36" s="501"/>
      <c r="AE36" s="501"/>
      <c r="AF36" s="501"/>
      <c r="AG36" s="501"/>
      <c r="AH36" s="501"/>
      <c r="AI36" s="53"/>
    </row>
    <row r="37" spans="2:50" ht="14.5" customHeight="1" x14ac:dyDescent="0.3">
      <c r="C37" s="52"/>
      <c r="D37" s="497" t="s">
        <v>518</v>
      </c>
      <c r="E37" s="497"/>
      <c r="F37" s="497"/>
      <c r="G37" s="497"/>
      <c r="H37" s="497"/>
      <c r="I37" s="497"/>
      <c r="J37" s="497"/>
      <c r="K37" s="497"/>
      <c r="L37" s="497"/>
      <c r="M37" s="497"/>
      <c r="N37" s="497"/>
      <c r="O37" s="497"/>
      <c r="P37" s="497"/>
      <c r="Q37" s="497"/>
      <c r="R37" s="285"/>
      <c r="S37" s="56"/>
      <c r="T37" s="497" t="s">
        <v>360</v>
      </c>
      <c r="U37" s="497"/>
      <c r="V37" s="497"/>
      <c r="W37" s="497"/>
      <c r="X37" s="497"/>
      <c r="Y37" s="497"/>
      <c r="Z37" s="497"/>
      <c r="AA37" s="497"/>
      <c r="AB37" s="497"/>
      <c r="AC37" s="497"/>
      <c r="AD37" s="497"/>
      <c r="AE37" s="497"/>
      <c r="AF37" s="497"/>
      <c r="AG37" s="497"/>
      <c r="AH37" s="497"/>
      <c r="AI37" s="53"/>
    </row>
    <row r="38" spans="2:50" ht="23.15" customHeight="1" x14ac:dyDescent="0.3">
      <c r="C38" s="52"/>
      <c r="D38" s="497"/>
      <c r="E38" s="497"/>
      <c r="F38" s="497"/>
      <c r="G38" s="497"/>
      <c r="H38" s="497"/>
      <c r="I38" s="497"/>
      <c r="J38" s="497"/>
      <c r="K38" s="497"/>
      <c r="L38" s="497"/>
      <c r="M38" s="497"/>
      <c r="N38" s="497"/>
      <c r="O38" s="497"/>
      <c r="P38" s="497"/>
      <c r="Q38" s="497"/>
      <c r="R38" s="285"/>
      <c r="S38" s="56"/>
      <c r="T38" s="497"/>
      <c r="U38" s="497"/>
      <c r="V38" s="497"/>
      <c r="W38" s="497"/>
      <c r="X38" s="497"/>
      <c r="Y38" s="497"/>
      <c r="Z38" s="497"/>
      <c r="AA38" s="497"/>
      <c r="AB38" s="497"/>
      <c r="AC38" s="497"/>
      <c r="AD38" s="497"/>
      <c r="AE38" s="497"/>
      <c r="AF38" s="497"/>
      <c r="AG38" s="497"/>
      <c r="AH38" s="497"/>
      <c r="AI38" s="53"/>
    </row>
    <row r="39" spans="2:50" ht="79" customHeight="1" x14ac:dyDescent="0.3">
      <c r="C39" s="52"/>
      <c r="D39" s="497"/>
      <c r="E39" s="497"/>
      <c r="F39" s="497"/>
      <c r="G39" s="497"/>
      <c r="H39" s="497"/>
      <c r="I39" s="497"/>
      <c r="J39" s="497"/>
      <c r="K39" s="497"/>
      <c r="L39" s="497"/>
      <c r="M39" s="497"/>
      <c r="N39" s="497"/>
      <c r="O39" s="497"/>
      <c r="P39" s="497"/>
      <c r="Q39" s="497"/>
      <c r="R39" s="285"/>
      <c r="S39" s="56"/>
      <c r="T39" s="497"/>
      <c r="U39" s="497"/>
      <c r="V39" s="497"/>
      <c r="W39" s="497"/>
      <c r="X39" s="497"/>
      <c r="Y39" s="497"/>
      <c r="Z39" s="497"/>
      <c r="AA39" s="497"/>
      <c r="AB39" s="497"/>
      <c r="AC39" s="497"/>
      <c r="AD39" s="497"/>
      <c r="AE39" s="497"/>
      <c r="AF39" s="497"/>
      <c r="AG39" s="497"/>
      <c r="AH39" s="497"/>
      <c r="AI39" s="53"/>
      <c r="AL39" s="14"/>
      <c r="AM39" s="14"/>
      <c r="AN39" s="14"/>
      <c r="AO39" s="14"/>
      <c r="AP39" s="14"/>
      <c r="AQ39" s="14"/>
      <c r="AR39" s="14"/>
      <c r="AS39" s="14"/>
      <c r="AT39" s="14"/>
      <c r="AU39" s="14"/>
      <c r="AV39" s="14"/>
      <c r="AW39" s="14"/>
      <c r="AX39" s="14"/>
    </row>
    <row r="40" spans="2:50" ht="2.5" customHeight="1" x14ac:dyDescent="0.3">
      <c r="C40" s="52"/>
      <c r="D40" s="274"/>
      <c r="E40" s="274"/>
      <c r="F40" s="274"/>
      <c r="G40" s="274"/>
      <c r="H40" s="274"/>
      <c r="I40" s="274"/>
      <c r="J40" s="274"/>
      <c r="K40" s="274"/>
      <c r="L40" s="274"/>
      <c r="M40" s="274"/>
      <c r="N40" s="274"/>
      <c r="O40" s="274"/>
      <c r="P40" s="274"/>
      <c r="Q40" s="274"/>
      <c r="R40" s="285"/>
      <c r="S40" s="56"/>
      <c r="T40" s="274"/>
      <c r="U40" s="274"/>
      <c r="V40" s="274"/>
      <c r="W40" s="274"/>
      <c r="X40" s="274"/>
      <c r="Y40" s="274"/>
      <c r="Z40" s="274"/>
      <c r="AA40" s="274"/>
      <c r="AB40" s="274"/>
      <c r="AC40" s="274"/>
      <c r="AD40" s="274"/>
      <c r="AE40" s="274"/>
      <c r="AF40" s="274"/>
      <c r="AG40" s="274"/>
      <c r="AH40" s="274"/>
      <c r="AI40" s="53"/>
      <c r="AL40" s="14"/>
      <c r="AM40" s="14"/>
      <c r="AN40" s="14"/>
      <c r="AO40" s="14"/>
      <c r="AP40" s="14"/>
      <c r="AQ40" s="14"/>
      <c r="AR40" s="14"/>
      <c r="AS40" s="14"/>
      <c r="AT40" s="14"/>
      <c r="AU40" s="14"/>
      <c r="AV40" s="14"/>
      <c r="AW40" s="14"/>
      <c r="AX40" s="14"/>
    </row>
    <row r="41" spans="2:50" ht="12.65" customHeight="1" x14ac:dyDescent="0.3">
      <c r="C41" s="52"/>
      <c r="D41" s="286"/>
      <c r="E41" s="286"/>
      <c r="F41" s="286"/>
      <c r="G41" s="286"/>
      <c r="H41" s="286"/>
      <c r="I41" s="286"/>
      <c r="J41" s="286"/>
      <c r="K41" s="286"/>
      <c r="L41" s="56"/>
      <c r="M41" s="262"/>
      <c r="N41" s="56"/>
      <c r="O41" s="262"/>
      <c r="P41" s="56"/>
      <c r="Q41" s="56"/>
      <c r="R41" s="285"/>
      <c r="S41" s="56"/>
      <c r="T41" s="76"/>
      <c r="U41" s="262"/>
      <c r="V41" s="262"/>
      <c r="W41" s="262"/>
      <c r="X41" s="262"/>
      <c r="Y41" s="262"/>
      <c r="Z41" s="262"/>
      <c r="AA41" s="262"/>
      <c r="AB41" s="262"/>
      <c r="AC41" s="262"/>
      <c r="AD41" s="262"/>
      <c r="AE41" s="262"/>
      <c r="AF41" s="262"/>
      <c r="AG41" s="262"/>
      <c r="AH41" s="262"/>
      <c r="AI41" s="53"/>
      <c r="AL41" s="14"/>
      <c r="AM41" s="14"/>
      <c r="AN41" s="14"/>
      <c r="AO41" s="14"/>
      <c r="AP41" s="14"/>
      <c r="AQ41" s="14"/>
      <c r="AR41" s="14"/>
      <c r="AS41" s="14"/>
      <c r="AT41" s="14"/>
      <c r="AU41" s="14"/>
      <c r="AV41" s="14"/>
      <c r="AW41" s="14"/>
      <c r="AX41" s="14"/>
    </row>
    <row r="42" spans="2:50" ht="17.149999999999999" customHeight="1" x14ac:dyDescent="0.35">
      <c r="C42" s="52"/>
      <c r="D42" s="447" t="s">
        <v>519</v>
      </c>
      <c r="E42" s="447"/>
      <c r="F42" s="447"/>
      <c r="G42" s="447"/>
      <c r="H42" s="447"/>
      <c r="I42" s="447"/>
      <c r="J42" s="447"/>
      <c r="K42" s="161" t="s">
        <v>2</v>
      </c>
      <c r="L42" s="161"/>
      <c r="M42" s="262"/>
      <c r="N42" s="161" t="s">
        <v>3</v>
      </c>
      <c r="O42" s="262"/>
      <c r="P42" s="56"/>
      <c r="Q42" s="56"/>
      <c r="R42" s="285"/>
      <c r="S42" s="56"/>
      <c r="T42" s="496" t="s">
        <v>493</v>
      </c>
      <c r="U42" s="496"/>
      <c r="V42" s="496"/>
      <c r="W42" s="496"/>
      <c r="X42" s="496"/>
      <c r="Y42" s="496"/>
      <c r="Z42" s="496"/>
      <c r="AA42" s="496"/>
      <c r="AB42" s="496"/>
      <c r="AC42" s="496"/>
      <c r="AD42" s="287" t="s">
        <v>2</v>
      </c>
      <c r="AE42" s="262"/>
      <c r="AF42" s="56"/>
      <c r="AG42" s="56" t="s">
        <v>3</v>
      </c>
      <c r="AH42" s="262"/>
      <c r="AI42" s="53"/>
      <c r="AL42" s="23"/>
      <c r="AM42" s="14"/>
      <c r="AN42" s="14"/>
      <c r="AO42" s="14"/>
      <c r="AP42" s="14"/>
      <c r="AQ42" s="14"/>
      <c r="AR42" s="14"/>
      <c r="AS42" s="24"/>
      <c r="AT42" s="14"/>
      <c r="AU42" s="24"/>
      <c r="AV42" s="14"/>
      <c r="AW42" s="14"/>
      <c r="AX42" s="14"/>
    </row>
    <row r="43" spans="2:50" ht="15.5" x14ac:dyDescent="0.35">
      <c r="C43" s="52"/>
      <c r="D43" s="56"/>
      <c r="E43" s="262"/>
      <c r="F43" s="56"/>
      <c r="G43" s="56"/>
      <c r="H43" s="56"/>
      <c r="I43" s="56"/>
      <c r="J43" s="56"/>
      <c r="K43" s="161"/>
      <c r="L43" s="161"/>
      <c r="M43" s="262"/>
      <c r="N43" s="161"/>
      <c r="O43" s="262"/>
      <c r="P43" s="56"/>
      <c r="Q43" s="56"/>
      <c r="R43" s="285"/>
      <c r="S43" s="56"/>
      <c r="T43" s="76"/>
      <c r="U43" s="262"/>
      <c r="V43" s="262"/>
      <c r="W43" s="262"/>
      <c r="X43" s="262"/>
      <c r="Y43" s="262"/>
      <c r="Z43" s="262"/>
      <c r="AA43" s="262"/>
      <c r="AB43" s="262"/>
      <c r="AC43" s="262"/>
      <c r="AD43" s="262"/>
      <c r="AE43" s="262"/>
      <c r="AF43" s="262"/>
      <c r="AG43" s="262"/>
      <c r="AH43" s="262"/>
      <c r="AI43" s="53"/>
      <c r="AL43" s="23"/>
      <c r="AM43" s="14"/>
      <c r="AN43" s="14"/>
      <c r="AO43" s="14"/>
      <c r="AP43" s="14"/>
      <c r="AQ43" s="14"/>
      <c r="AR43" s="14"/>
      <c r="AS43" s="24"/>
      <c r="AT43" s="14"/>
      <c r="AU43" s="24"/>
      <c r="AV43" s="14"/>
      <c r="AW43" s="14"/>
      <c r="AX43" s="14"/>
    </row>
    <row r="44" spans="2:50" ht="16.5" customHeight="1" x14ac:dyDescent="0.3">
      <c r="C44" s="52"/>
      <c r="D44" s="447" t="s">
        <v>520</v>
      </c>
      <c r="E44" s="447"/>
      <c r="F44" s="447"/>
      <c r="G44" s="447"/>
      <c r="H44" s="447"/>
      <c r="I44" s="447"/>
      <c r="J44" s="447"/>
      <c r="K44" s="288" t="s">
        <v>272</v>
      </c>
      <c r="L44" s="289"/>
      <c r="M44" s="262"/>
      <c r="N44" s="270"/>
      <c r="O44" s="262"/>
      <c r="P44" s="56"/>
      <c r="Q44" s="56"/>
      <c r="R44" s="285"/>
      <c r="S44" s="56"/>
      <c r="T44" s="447" t="s">
        <v>362</v>
      </c>
      <c r="U44" s="447"/>
      <c r="V44" s="447"/>
      <c r="W44" s="447"/>
      <c r="X44" s="447"/>
      <c r="Y44" s="447"/>
      <c r="Z44" s="447"/>
      <c r="AA44" s="447"/>
      <c r="AB44" s="447"/>
      <c r="AC44" s="262"/>
      <c r="AD44" s="290" t="s">
        <v>368</v>
      </c>
      <c r="AE44" s="291"/>
      <c r="AF44" s="56"/>
      <c r="AG44" s="265"/>
      <c r="AH44" s="262"/>
      <c r="AI44" s="53"/>
      <c r="AL44" s="26"/>
      <c r="AM44" s="14"/>
      <c r="AN44" s="14"/>
      <c r="AO44" s="14"/>
      <c r="AP44" s="14"/>
      <c r="AQ44" s="14"/>
      <c r="AR44" s="14"/>
      <c r="AS44" s="14"/>
      <c r="AT44" s="28"/>
      <c r="AU44" s="14"/>
      <c r="AV44" s="14"/>
      <c r="AW44" s="14"/>
    </row>
    <row r="45" spans="2:50" ht="17.5" customHeight="1" x14ac:dyDescent="0.3">
      <c r="C45" s="52"/>
      <c r="D45" s="56"/>
      <c r="E45" s="262"/>
      <c r="F45" s="56"/>
      <c r="G45" s="56"/>
      <c r="H45" s="56"/>
      <c r="I45" s="56"/>
      <c r="J45" s="56"/>
      <c r="K45" s="56" t="s">
        <v>547</v>
      </c>
      <c r="L45" s="56" t="str">
        <f>IF(ISNUMBER(L46),"Post 2025 discharge","")</f>
        <v/>
      </c>
      <c r="M45" s="262" t="s">
        <v>548</v>
      </c>
      <c r="N45" s="265"/>
      <c r="O45" s="262"/>
      <c r="P45" s="56"/>
      <c r="Q45" s="56"/>
      <c r="R45" s="285"/>
      <c r="S45" s="56"/>
      <c r="T45" s="447" t="s">
        <v>80</v>
      </c>
      <c r="U45" s="447"/>
      <c r="V45" s="447"/>
      <c r="W45" s="447"/>
      <c r="X45" s="447"/>
      <c r="Y45" s="447"/>
      <c r="Z45" s="447"/>
      <c r="AA45" s="447"/>
      <c r="AB45" s="262"/>
      <c r="AC45" s="262"/>
      <c r="AD45" s="292"/>
      <c r="AE45" s="292"/>
      <c r="AF45" s="293"/>
      <c r="AG45" s="265"/>
      <c r="AH45" s="262"/>
      <c r="AI45" s="53"/>
      <c r="AJ45" s="16"/>
      <c r="AL45" s="14"/>
      <c r="AM45" s="14"/>
      <c r="AN45" s="14"/>
      <c r="AO45" s="14"/>
      <c r="AP45" s="14"/>
      <c r="AQ45" s="14"/>
      <c r="AR45" s="14"/>
      <c r="AS45" s="14"/>
      <c r="AT45" s="14"/>
      <c r="AU45" s="29"/>
      <c r="AV45" s="14"/>
      <c r="AW45" s="14"/>
      <c r="AX45" s="14"/>
    </row>
    <row r="46" spans="2:50" ht="27" customHeight="1" x14ac:dyDescent="0.3">
      <c r="C46" s="52"/>
      <c r="D46" s="447" t="s">
        <v>521</v>
      </c>
      <c r="E46" s="447"/>
      <c r="F46" s="447"/>
      <c r="G46" s="56"/>
      <c r="H46" s="56"/>
      <c r="I46" s="56"/>
      <c r="J46" s="56"/>
      <c r="K46" s="294">
        <f>INDEX(permits,MATCH('Stage 1'!K44,Wastewater,0),3)</f>
        <v>1.57</v>
      </c>
      <c r="L46" s="292" t="str">
        <f>IF(INDEX(permits,MATCH('Stage 1'!K44,Wastewater,0),6)=K46,"",INDEX(permits,MATCH('Stage 1'!K44,Wastewater,0),6))</f>
        <v/>
      </c>
      <c r="M46" s="294">
        <f>INDEX(permits_2030,MATCH('Stage 1'!K44,Wastewater,0),9)</f>
        <v>0.22500000000000001</v>
      </c>
      <c r="N46" s="265" t="s">
        <v>363</v>
      </c>
      <c r="O46" s="262"/>
      <c r="P46" s="261"/>
      <c r="Q46" s="56"/>
      <c r="R46" s="285"/>
      <c r="S46" s="56"/>
      <c r="T46" s="447" t="s">
        <v>365</v>
      </c>
      <c r="U46" s="447"/>
      <c r="V46" s="447"/>
      <c r="W46" s="447"/>
      <c r="X46" s="447"/>
      <c r="Y46" s="56"/>
      <c r="Z46" s="56"/>
      <c r="AA46" s="56"/>
      <c r="AB46" s="56"/>
      <c r="AC46" s="56"/>
      <c r="AD46" s="295" t="str">
        <f>INDEX(Table3[],MATCH('Stage 1'!AD44,OsTWs,0),2)</f>
        <v>Please enter effluent concentration in cell to right:</v>
      </c>
      <c r="AE46" s="308"/>
      <c r="AF46" s="293"/>
      <c r="AG46" s="265" t="s">
        <v>363</v>
      </c>
      <c r="AH46" s="262"/>
      <c r="AI46" s="53"/>
      <c r="AJ46" s="16"/>
      <c r="AL46" s="27"/>
      <c r="AM46" s="14"/>
      <c r="AN46" s="14"/>
      <c r="AO46" s="14"/>
      <c r="AP46" s="14"/>
      <c r="AQ46" s="14"/>
      <c r="AR46" s="14"/>
      <c r="AS46" s="22"/>
      <c r="AT46" s="14"/>
      <c r="AU46" s="30"/>
      <c r="AV46" s="14"/>
      <c r="AW46" s="31"/>
      <c r="AX46" s="14"/>
    </row>
    <row r="47" spans="2:50" ht="28.5" customHeight="1" x14ac:dyDescent="0.3">
      <c r="C47" s="52"/>
      <c r="D47" s="159" t="s">
        <v>522</v>
      </c>
      <c r="E47" s="159"/>
      <c r="F47" s="159"/>
      <c r="G47" s="56"/>
      <c r="H47" s="56"/>
      <c r="I47" s="56"/>
      <c r="J47" s="56"/>
      <c r="K47" s="296">
        <f>INDEX(permits,MATCH('Stage 1'!K44,Wastewater,0),4)</f>
        <v>25</v>
      </c>
      <c r="L47" s="292"/>
      <c r="M47" s="296">
        <f>INDEX(permits_2030,MATCH('Stage 1'!K44,Wastewater,0),10)</f>
        <v>9</v>
      </c>
      <c r="N47" s="265" t="s">
        <v>363</v>
      </c>
      <c r="O47" s="262"/>
      <c r="P47" s="261"/>
      <c r="Q47" s="56"/>
      <c r="R47" s="285"/>
      <c r="S47" s="56"/>
      <c r="T47" s="447" t="s">
        <v>366</v>
      </c>
      <c r="U47" s="447"/>
      <c r="V47" s="447"/>
      <c r="W47" s="447"/>
      <c r="X47" s="447"/>
      <c r="Y47" s="56"/>
      <c r="Z47" s="56"/>
      <c r="AA47" s="56"/>
      <c r="AB47" s="56"/>
      <c r="AC47" s="56"/>
      <c r="AD47" s="295" t="str">
        <f>INDEX(Table3[],MATCH('Stage 1'!AD44,OsTWs,0),3)</f>
        <v>Please enter effluent concentration in cell to right:</v>
      </c>
      <c r="AE47" s="309"/>
      <c r="AF47" s="293"/>
      <c r="AG47" s="265" t="s">
        <v>363</v>
      </c>
      <c r="AH47" s="262"/>
      <c r="AI47" s="53"/>
      <c r="AJ47" s="16"/>
      <c r="AL47" s="27"/>
      <c r="AM47" s="14"/>
      <c r="AN47" s="14"/>
      <c r="AO47" s="14"/>
      <c r="AP47" s="14"/>
      <c r="AQ47" s="14"/>
      <c r="AR47" s="14"/>
      <c r="AS47" s="22"/>
      <c r="AT47" s="14"/>
      <c r="AU47" s="30"/>
      <c r="AV47" s="14"/>
      <c r="AW47" s="31"/>
      <c r="AX47" s="14"/>
    </row>
    <row r="48" spans="2:50" ht="15" customHeight="1" x14ac:dyDescent="0.3">
      <c r="C48" s="52"/>
      <c r="D48" s="163"/>
      <c r="E48" s="163"/>
      <c r="F48" s="163"/>
      <c r="G48" s="56"/>
      <c r="H48" s="56"/>
      <c r="I48" s="56"/>
      <c r="J48" s="56"/>
      <c r="K48" s="297"/>
      <c r="L48" s="297"/>
      <c r="M48" s="262"/>
      <c r="N48" s="272"/>
      <c r="O48" s="262"/>
      <c r="P48" s="261"/>
      <c r="Q48" s="56"/>
      <c r="R48" s="285"/>
      <c r="S48" s="56"/>
      <c r="T48" s="56"/>
      <c r="U48" s="262"/>
      <c r="V48" s="56"/>
      <c r="W48" s="56"/>
      <c r="X48" s="56"/>
      <c r="Y48" s="56"/>
      <c r="Z48" s="56"/>
      <c r="AA48" s="56"/>
      <c r="AB48" s="56"/>
      <c r="AC48" s="56"/>
      <c r="AD48" s="292"/>
      <c r="AE48" s="292"/>
      <c r="AF48" s="293"/>
      <c r="AG48" s="265"/>
      <c r="AH48" s="76"/>
      <c r="AI48" s="53"/>
      <c r="AJ48" s="16"/>
      <c r="AL48" s="27"/>
      <c r="AM48" s="14"/>
      <c r="AN48" s="14"/>
      <c r="AO48" s="14"/>
      <c r="AP48" s="14"/>
      <c r="AQ48" s="14"/>
      <c r="AR48" s="14"/>
      <c r="AS48" s="22"/>
      <c r="AT48" s="14"/>
      <c r="AU48" s="30"/>
      <c r="AV48" s="14"/>
      <c r="AW48" s="31"/>
      <c r="AX48" s="14"/>
    </row>
    <row r="49" spans="2:50" ht="51.5" customHeight="1" x14ac:dyDescent="0.3">
      <c r="C49" s="52"/>
      <c r="D49" s="497" t="s">
        <v>526</v>
      </c>
      <c r="E49" s="497"/>
      <c r="F49" s="497"/>
      <c r="G49" s="497"/>
      <c r="H49" s="497"/>
      <c r="I49" s="497"/>
      <c r="J49" s="497"/>
      <c r="K49" s="497"/>
      <c r="L49" s="497"/>
      <c r="M49" s="497"/>
      <c r="N49" s="497"/>
      <c r="O49" s="497"/>
      <c r="P49" s="497"/>
      <c r="Q49" s="497"/>
      <c r="R49" s="285"/>
      <c r="S49" s="262"/>
      <c r="T49" s="497" t="s">
        <v>367</v>
      </c>
      <c r="U49" s="497"/>
      <c r="V49" s="497"/>
      <c r="W49" s="497"/>
      <c r="X49" s="497"/>
      <c r="Y49" s="497"/>
      <c r="Z49" s="497"/>
      <c r="AA49" s="497"/>
      <c r="AB49" s="497"/>
      <c r="AC49" s="497"/>
      <c r="AD49" s="497"/>
      <c r="AE49" s="497"/>
      <c r="AF49" s="497"/>
      <c r="AG49" s="497"/>
      <c r="AH49" s="497"/>
      <c r="AI49" s="53"/>
      <c r="AJ49" s="16"/>
      <c r="AL49" s="505"/>
      <c r="AM49" s="505"/>
      <c r="AN49" s="505"/>
      <c r="AO49" s="505"/>
      <c r="AP49" s="505"/>
      <c r="AQ49" s="505"/>
      <c r="AR49" s="505"/>
      <c r="AS49" s="505"/>
      <c r="AT49" s="505"/>
      <c r="AU49" s="505"/>
      <c r="AV49" s="505"/>
      <c r="AW49" s="505"/>
      <c r="AX49" s="505"/>
    </row>
    <row r="50" spans="2:50" ht="15.5" x14ac:dyDescent="0.3">
      <c r="C50" s="52"/>
      <c r="D50" s="298"/>
      <c r="E50" s="298"/>
      <c r="F50" s="298"/>
      <c r="G50" s="298"/>
      <c r="H50" s="298"/>
      <c r="I50" s="298"/>
      <c r="J50" s="298"/>
      <c r="K50" s="274"/>
      <c r="L50" s="274"/>
      <c r="M50" s="298"/>
      <c r="N50" s="298"/>
      <c r="O50" s="298"/>
      <c r="P50" s="298"/>
      <c r="Q50" s="298"/>
      <c r="R50" s="285"/>
      <c r="S50" s="262"/>
      <c r="T50" s="274"/>
      <c r="U50" s="274"/>
      <c r="V50" s="274"/>
      <c r="W50" s="274"/>
      <c r="X50" s="274"/>
      <c r="Y50" s="274"/>
      <c r="Z50" s="274"/>
      <c r="AA50" s="274"/>
      <c r="AB50" s="274"/>
      <c r="AC50" s="274"/>
      <c r="AD50" s="274"/>
      <c r="AE50" s="274"/>
      <c r="AF50" s="274"/>
      <c r="AG50" s="274"/>
      <c r="AH50" s="274"/>
      <c r="AI50" s="53"/>
      <c r="AJ50" s="16"/>
      <c r="AL50" s="34"/>
      <c r="AM50" s="34"/>
      <c r="AN50" s="34"/>
      <c r="AO50" s="34"/>
      <c r="AP50" s="34"/>
      <c r="AQ50" s="34"/>
      <c r="AR50" s="34"/>
      <c r="AS50" s="34"/>
      <c r="AT50" s="34"/>
      <c r="AU50" s="34"/>
      <c r="AV50" s="34"/>
      <c r="AW50" s="34"/>
      <c r="AX50" s="34"/>
    </row>
    <row r="51" spans="2:50" ht="15.5" x14ac:dyDescent="0.3">
      <c r="C51" s="52"/>
      <c r="D51" s="56"/>
      <c r="E51" s="56"/>
      <c r="F51" s="56"/>
      <c r="G51" s="56"/>
      <c r="H51" s="56"/>
      <c r="I51" s="56"/>
      <c r="J51" s="56"/>
      <c r="K51" s="56"/>
      <c r="L51" s="56"/>
      <c r="M51" s="56"/>
      <c r="N51" s="262"/>
      <c r="O51" s="262"/>
      <c r="P51" s="56"/>
      <c r="Q51" s="56"/>
      <c r="R51" s="285"/>
      <c r="S51" s="262"/>
      <c r="T51" s="262"/>
      <c r="U51" s="262"/>
      <c r="V51" s="262"/>
      <c r="W51" s="262"/>
      <c r="X51" s="262"/>
      <c r="Y51" s="262"/>
      <c r="Z51" s="262"/>
      <c r="AA51" s="262"/>
      <c r="AB51" s="262"/>
      <c r="AC51" s="262"/>
      <c r="AD51" s="262"/>
      <c r="AE51" s="262"/>
      <c r="AF51" s="262"/>
      <c r="AG51" s="262"/>
      <c r="AH51" s="262"/>
      <c r="AI51" s="53"/>
      <c r="AJ51" s="16"/>
      <c r="AL51" s="14"/>
      <c r="AM51" s="14"/>
      <c r="AN51" s="14"/>
      <c r="AO51" s="14"/>
      <c r="AP51" s="14"/>
      <c r="AQ51" s="14"/>
      <c r="AR51" s="14"/>
      <c r="AS51" s="14"/>
      <c r="AT51" s="14"/>
      <c r="AU51" s="14"/>
      <c r="AV51" s="14"/>
      <c r="AW51" s="14"/>
      <c r="AX51" s="14"/>
    </row>
    <row r="52" spans="2:50" ht="15.5" x14ac:dyDescent="0.35">
      <c r="C52" s="52"/>
      <c r="D52" s="447" t="s">
        <v>523</v>
      </c>
      <c r="E52" s="447"/>
      <c r="F52" s="447"/>
      <c r="G52" s="447"/>
      <c r="H52" s="447"/>
      <c r="I52" s="447"/>
      <c r="J52" s="447"/>
      <c r="K52" s="161" t="s">
        <v>2</v>
      </c>
      <c r="L52" s="161"/>
      <c r="M52" s="76"/>
      <c r="N52" s="161" t="s">
        <v>3</v>
      </c>
      <c r="O52" s="262"/>
      <c r="P52" s="56"/>
      <c r="Q52" s="56"/>
      <c r="R52" s="285"/>
      <c r="S52" s="262"/>
      <c r="T52" s="496" t="s">
        <v>511</v>
      </c>
      <c r="U52" s="496"/>
      <c r="V52" s="496"/>
      <c r="W52" s="496"/>
      <c r="X52" s="496"/>
      <c r="Y52" s="496"/>
      <c r="Z52" s="496"/>
      <c r="AA52" s="496"/>
      <c r="AB52" s="496"/>
      <c r="AC52" s="496"/>
      <c r="AD52" s="287" t="s">
        <v>2</v>
      </c>
      <c r="AE52" s="262"/>
      <c r="AF52" s="56"/>
      <c r="AG52" s="56" t="s">
        <v>3</v>
      </c>
      <c r="AH52" s="262"/>
      <c r="AI52" s="53"/>
      <c r="AJ52" s="16"/>
      <c r="AL52" s="23"/>
      <c r="AM52" s="14"/>
      <c r="AN52" s="14"/>
      <c r="AO52" s="14"/>
      <c r="AP52" s="14"/>
      <c r="AQ52" s="14"/>
      <c r="AR52" s="14"/>
      <c r="AS52" s="24"/>
      <c r="AT52" s="14"/>
      <c r="AU52" s="24"/>
      <c r="AV52" s="14"/>
      <c r="AW52" s="14"/>
      <c r="AX52" s="14"/>
    </row>
    <row r="53" spans="2:50" ht="15.5" x14ac:dyDescent="0.3">
      <c r="C53" s="52"/>
      <c r="D53" s="56"/>
      <c r="E53" s="262"/>
      <c r="F53" s="56"/>
      <c r="G53" s="56"/>
      <c r="H53" s="56"/>
      <c r="I53" s="56"/>
      <c r="J53" s="56"/>
      <c r="K53" s="56" t="s">
        <v>547</v>
      </c>
      <c r="L53" s="56" t="str">
        <f>IF(ISNUMBER(L54),"Post 2025 discharge","")</f>
        <v/>
      </c>
      <c r="M53" s="262" t="s">
        <v>548</v>
      </c>
      <c r="N53" s="161"/>
      <c r="O53" s="262"/>
      <c r="P53" s="56"/>
      <c r="Q53" s="56"/>
      <c r="R53" s="285"/>
      <c r="S53" s="262"/>
      <c r="T53" s="262"/>
      <c r="U53" s="262"/>
      <c r="V53" s="262"/>
      <c r="W53" s="262"/>
      <c r="X53" s="262"/>
      <c r="Y53" s="262"/>
      <c r="Z53" s="262"/>
      <c r="AA53" s="262"/>
      <c r="AB53" s="262"/>
      <c r="AC53" s="262"/>
      <c r="AD53" s="262"/>
      <c r="AE53" s="262"/>
      <c r="AF53" s="262"/>
      <c r="AG53" s="262"/>
      <c r="AH53" s="262"/>
      <c r="AI53" s="53"/>
      <c r="AJ53" s="16"/>
      <c r="AL53" s="36"/>
      <c r="AM53" s="14"/>
      <c r="AN53" s="14"/>
      <c r="AO53" s="14"/>
      <c r="AP53" s="14"/>
      <c r="AQ53" s="14"/>
      <c r="AR53" s="14"/>
      <c r="AS53" s="24"/>
      <c r="AT53" s="14"/>
      <c r="AU53" s="24"/>
      <c r="AV53" s="14"/>
      <c r="AW53" s="14"/>
      <c r="AX53" s="14"/>
    </row>
    <row r="54" spans="2:50" ht="15.5" x14ac:dyDescent="0.3">
      <c r="B54" s="20"/>
      <c r="C54" s="52"/>
      <c r="D54" s="447" t="s">
        <v>524</v>
      </c>
      <c r="E54" s="447"/>
      <c r="F54" s="447"/>
      <c r="G54" s="56"/>
      <c r="H54" s="56"/>
      <c r="I54" s="56"/>
      <c r="J54" s="56"/>
      <c r="K54" s="296">
        <f>IF(N34="Yes",((K46*V29)/1000000)*365.25,0)</f>
        <v>0</v>
      </c>
      <c r="L54" s="292" t="str">
        <f>IF(ISNUMBER(L46),IF(N34="Yes",((L46*V29)/1000000)*365.25,0),"")</f>
        <v/>
      </c>
      <c r="M54" s="296">
        <f>IF(N34="Yes",((M46*V29)/1000000)*365.25,0)</f>
        <v>0</v>
      </c>
      <c r="N54" s="270" t="s">
        <v>35</v>
      </c>
      <c r="O54" s="262"/>
      <c r="P54" s="56"/>
      <c r="Q54" s="56"/>
      <c r="R54" s="285"/>
      <c r="S54" s="262"/>
      <c r="T54" s="447" t="s">
        <v>494</v>
      </c>
      <c r="U54" s="447"/>
      <c r="V54" s="447"/>
      <c r="W54" s="447"/>
      <c r="X54" s="447"/>
      <c r="Y54" s="447"/>
      <c r="Z54" s="447"/>
      <c r="AA54" s="447"/>
      <c r="AB54" s="262"/>
      <c r="AC54" s="262"/>
      <c r="AD54" s="299">
        <f>IF(AD34="Yes",((IF(AE46&gt;0,AE46*V29,AD46*V29))/1000000)*365.25,0)</f>
        <v>0</v>
      </c>
      <c r="AE54" s="300"/>
      <c r="AF54" s="262"/>
      <c r="AG54" s="265" t="s">
        <v>35</v>
      </c>
      <c r="AH54" s="262"/>
      <c r="AI54" s="53"/>
      <c r="AJ54" s="16"/>
      <c r="AL54" s="26"/>
      <c r="AM54" s="14"/>
      <c r="AN54" s="14"/>
      <c r="AO54" s="14"/>
      <c r="AP54" s="14"/>
      <c r="AQ54" s="14"/>
      <c r="AR54" s="14"/>
      <c r="AS54" s="18"/>
      <c r="AT54" s="14"/>
      <c r="AU54" s="32"/>
      <c r="AV54" s="14"/>
      <c r="AW54" s="14"/>
      <c r="AX54" s="14"/>
    </row>
    <row r="55" spans="2:50" ht="14.15" customHeight="1" x14ac:dyDescent="0.3">
      <c r="B55" s="20"/>
      <c r="C55" s="55"/>
      <c r="D55" s="447" t="s">
        <v>525</v>
      </c>
      <c r="E55" s="447"/>
      <c r="F55" s="447"/>
      <c r="G55" s="56"/>
      <c r="H55" s="56"/>
      <c r="I55" s="56"/>
      <c r="J55" s="56"/>
      <c r="K55" s="296">
        <f>IF(N34="Yes",((K47*V29)/1000000)*365.25,0)</f>
        <v>0</v>
      </c>
      <c r="L55" s="292"/>
      <c r="M55" s="296">
        <f>IF(N34="Yes",((M47*V29)/1000000)*365.25,0)</f>
        <v>0</v>
      </c>
      <c r="N55" s="270" t="s">
        <v>35</v>
      </c>
      <c r="O55" s="262"/>
      <c r="P55" s="56"/>
      <c r="Q55" s="56"/>
      <c r="R55" s="285"/>
      <c r="S55" s="262"/>
      <c r="T55" s="496" t="s">
        <v>495</v>
      </c>
      <c r="U55" s="496"/>
      <c r="V55" s="496"/>
      <c r="W55" s="496"/>
      <c r="X55" s="496"/>
      <c r="Y55" s="496"/>
      <c r="Z55" s="496"/>
      <c r="AA55" s="496"/>
      <c r="AB55" s="262"/>
      <c r="AC55" s="262"/>
      <c r="AD55" s="299">
        <f>IF(AD34="Yes",((IF(AE47&gt;0,AE47*V29,AD47*V29))/1000000)*365.25,0)</f>
        <v>0</v>
      </c>
      <c r="AE55" s="262"/>
      <c r="AF55" s="262"/>
      <c r="AG55" s="265" t="s">
        <v>35</v>
      </c>
      <c r="AH55" s="262"/>
      <c r="AI55" s="53"/>
      <c r="AJ55" s="16"/>
      <c r="AL55" s="26"/>
      <c r="AM55" s="14"/>
      <c r="AN55" s="14"/>
      <c r="AO55" s="14"/>
      <c r="AP55" s="14"/>
      <c r="AQ55" s="14"/>
      <c r="AR55" s="14"/>
      <c r="AS55" s="33"/>
      <c r="AT55" s="14"/>
      <c r="AU55" s="25"/>
      <c r="AV55" s="14"/>
      <c r="AW55" s="14"/>
      <c r="AX55" s="14"/>
    </row>
    <row r="56" spans="2:50" ht="17.149999999999999" customHeight="1" x14ac:dyDescent="0.3">
      <c r="B56" s="20"/>
      <c r="C56" s="55"/>
      <c r="D56" s="56"/>
      <c r="E56" s="262"/>
      <c r="F56" s="56"/>
      <c r="G56" s="56"/>
      <c r="H56" s="56"/>
      <c r="I56" s="56"/>
      <c r="J56" s="56"/>
      <c r="K56" s="56"/>
      <c r="L56" s="56"/>
      <c r="M56" s="262"/>
      <c r="N56" s="265"/>
      <c r="O56" s="56"/>
      <c r="P56" s="56"/>
      <c r="Q56" s="56"/>
      <c r="R56" s="285"/>
      <c r="S56" s="262"/>
      <c r="T56" s="262"/>
      <c r="U56" s="262"/>
      <c r="V56" s="262"/>
      <c r="W56" s="262"/>
      <c r="X56" s="262"/>
      <c r="Y56" s="262"/>
      <c r="Z56" s="262"/>
      <c r="AA56" s="262"/>
      <c r="AB56" s="262"/>
      <c r="AC56" s="262"/>
      <c r="AD56" s="262"/>
      <c r="AE56" s="262"/>
      <c r="AF56" s="262"/>
      <c r="AG56" s="262"/>
      <c r="AH56" s="262"/>
      <c r="AI56" s="53"/>
      <c r="AJ56" s="16"/>
      <c r="AL56" s="14"/>
      <c r="AM56" s="14"/>
      <c r="AN56" s="14"/>
      <c r="AO56" s="14"/>
      <c r="AP56" s="14"/>
      <c r="AQ56" s="14"/>
      <c r="AR56" s="14"/>
      <c r="AS56" s="14"/>
      <c r="AT56" s="14"/>
      <c r="AU56" s="25"/>
      <c r="AV56" s="14"/>
      <c r="AW56" s="14"/>
      <c r="AX56" s="14"/>
    </row>
    <row r="57" spans="2:50" ht="16" thickBot="1" x14ac:dyDescent="0.4">
      <c r="B57" s="20"/>
      <c r="C57" s="57"/>
      <c r="D57" s="301"/>
      <c r="E57" s="301"/>
      <c r="F57" s="301"/>
      <c r="G57" s="301"/>
      <c r="H57" s="302"/>
      <c r="I57" s="302"/>
      <c r="J57" s="302"/>
      <c r="K57" s="302"/>
      <c r="L57" s="302"/>
      <c r="M57" s="302"/>
      <c r="N57" s="302"/>
      <c r="O57" s="302"/>
      <c r="P57" s="302"/>
      <c r="Q57" s="302"/>
      <c r="R57" s="302"/>
      <c r="S57" s="302"/>
      <c r="T57" s="302"/>
      <c r="U57" s="302"/>
      <c r="V57" s="302"/>
      <c r="W57" s="302"/>
      <c r="X57" s="302"/>
      <c r="Y57" s="302"/>
      <c r="Z57" s="302"/>
      <c r="AA57" s="301"/>
      <c r="AB57" s="301"/>
      <c r="AC57" s="301"/>
      <c r="AD57" s="301"/>
      <c r="AE57" s="301"/>
      <c r="AF57" s="301"/>
      <c r="AG57" s="301"/>
      <c r="AH57" s="301"/>
      <c r="AI57" s="59"/>
      <c r="AJ57" s="16"/>
      <c r="AL57" s="14"/>
      <c r="AM57" s="14"/>
      <c r="AN57" s="14"/>
      <c r="AO57" s="14"/>
      <c r="AP57" s="14"/>
      <c r="AQ57" s="14"/>
      <c r="AR57" s="14"/>
      <c r="AS57" s="14"/>
      <c r="AT57" s="14"/>
      <c r="AU57" s="14"/>
      <c r="AV57" s="14"/>
      <c r="AW57" s="14"/>
      <c r="AX57" s="14"/>
    </row>
    <row r="58" spans="2:50" ht="15.5" x14ac:dyDescent="0.35">
      <c r="C58" s="207"/>
      <c r="D58" s="256"/>
      <c r="E58" s="256"/>
      <c r="F58" s="256"/>
      <c r="G58" s="256"/>
      <c r="H58" s="257"/>
      <c r="I58" s="303"/>
      <c r="J58" s="303"/>
      <c r="K58" s="303"/>
      <c r="L58" s="303"/>
      <c r="M58" s="303"/>
      <c r="N58" s="303"/>
      <c r="O58" s="303"/>
      <c r="P58" s="303"/>
      <c r="Q58" s="303"/>
      <c r="R58" s="303"/>
      <c r="S58" s="303"/>
      <c r="T58" s="303"/>
      <c r="U58" s="303"/>
      <c r="V58" s="303"/>
      <c r="W58" s="303"/>
      <c r="X58" s="303"/>
      <c r="Y58" s="250"/>
      <c r="Z58" s="259"/>
      <c r="AA58" s="256"/>
      <c r="AB58" s="256"/>
      <c r="AC58" s="256"/>
      <c r="AD58" s="256"/>
      <c r="AE58" s="256"/>
      <c r="AF58" s="256"/>
      <c r="AG58" s="256"/>
      <c r="AH58" s="256"/>
      <c r="AI58" s="207"/>
      <c r="AJ58" s="16"/>
      <c r="AK58" s="16"/>
      <c r="AL58" s="14"/>
      <c r="AM58" s="14"/>
      <c r="AN58" s="14"/>
      <c r="AO58" s="14"/>
      <c r="AP58" s="14"/>
      <c r="AQ58" s="14"/>
      <c r="AR58" s="14"/>
      <c r="AS58" s="14"/>
      <c r="AT58" s="14"/>
      <c r="AU58" s="14"/>
      <c r="AV58" s="14"/>
      <c r="AW58" s="14"/>
      <c r="AX58" s="14"/>
    </row>
    <row r="59" spans="2:50" ht="15.5" x14ac:dyDescent="0.35">
      <c r="C59" s="207"/>
      <c r="D59" s="256"/>
      <c r="E59" s="256"/>
      <c r="F59" s="256"/>
      <c r="G59" s="256"/>
      <c r="H59" s="257"/>
      <c r="I59" s="250"/>
      <c r="J59" s="54" t="s">
        <v>14</v>
      </c>
      <c r="K59" s="447" t="s">
        <v>405</v>
      </c>
      <c r="L59" s="447"/>
      <c r="M59" s="447"/>
      <c r="N59" s="447"/>
      <c r="O59" s="56"/>
      <c r="P59" s="56"/>
      <c r="Q59" s="56"/>
      <c r="R59" s="56"/>
      <c r="S59" s="56"/>
      <c r="T59" s="56"/>
      <c r="U59" s="161" t="s">
        <v>2</v>
      </c>
      <c r="V59" s="262" t="str">
        <f>IF(ISNUMBER(L45),"Value","")</f>
        <v/>
      </c>
      <c r="W59" s="262"/>
      <c r="X59" s="161" t="s">
        <v>3</v>
      </c>
      <c r="Y59" s="250"/>
      <c r="Z59" s="259"/>
      <c r="AA59" s="256"/>
      <c r="AB59" s="256"/>
      <c r="AC59" s="256"/>
      <c r="AD59" s="256"/>
      <c r="AE59" s="256"/>
      <c r="AF59" s="256"/>
      <c r="AG59" s="256"/>
      <c r="AH59" s="256"/>
      <c r="AI59" s="207"/>
      <c r="AJ59" s="16"/>
      <c r="AK59" s="16"/>
      <c r="AL59" s="14"/>
      <c r="AM59" s="14"/>
      <c r="AN59" s="14"/>
      <c r="AO59" s="14"/>
      <c r="AP59" s="14"/>
      <c r="AQ59" s="14"/>
      <c r="AR59" s="14"/>
      <c r="AS59" s="14"/>
      <c r="AT59" s="14"/>
      <c r="AU59" s="14"/>
      <c r="AV59" s="14"/>
      <c r="AW59" s="14"/>
      <c r="AX59" s="14"/>
    </row>
    <row r="60" spans="2:50" ht="15.5" x14ac:dyDescent="0.35">
      <c r="C60" s="207"/>
      <c r="D60" s="256"/>
      <c r="E60" s="256"/>
      <c r="F60" s="256"/>
      <c r="G60" s="256"/>
      <c r="H60" s="257"/>
      <c r="I60" s="250"/>
      <c r="J60" s="56"/>
      <c r="K60" s="56"/>
      <c r="L60" s="56"/>
      <c r="M60" s="56"/>
      <c r="N60" s="56"/>
      <c r="O60" s="56"/>
      <c r="P60" s="56"/>
      <c r="Q60" s="56"/>
      <c r="R60" s="56"/>
      <c r="S60" s="56"/>
      <c r="T60" s="56"/>
      <c r="U60" s="262" t="s">
        <v>550</v>
      </c>
      <c r="V60" s="262" t="str">
        <f>IF(ISNUMBER(L46),"Post 2025","")</f>
        <v/>
      </c>
      <c r="W60" s="262" t="s">
        <v>549</v>
      </c>
      <c r="X60" s="262"/>
      <c r="Y60" s="250"/>
      <c r="Z60" s="259"/>
      <c r="AA60" s="256"/>
      <c r="AB60" s="256"/>
      <c r="AC60" s="256"/>
      <c r="AD60" s="256"/>
      <c r="AE60" s="256"/>
      <c r="AF60" s="256"/>
      <c r="AG60" s="256"/>
      <c r="AH60" s="256"/>
      <c r="AI60" s="207"/>
      <c r="AJ60" s="16"/>
      <c r="AK60" s="16"/>
      <c r="AL60" s="14"/>
      <c r="AM60" s="14"/>
      <c r="AN60" s="14"/>
      <c r="AO60" s="14"/>
      <c r="AP60" s="14"/>
      <c r="AQ60" s="14"/>
      <c r="AR60" s="14"/>
      <c r="AS60" s="14"/>
      <c r="AT60" s="14"/>
      <c r="AU60" s="14"/>
      <c r="AV60" s="14"/>
      <c r="AW60" s="14"/>
      <c r="AX60" s="14"/>
    </row>
    <row r="61" spans="2:50" ht="15.5" x14ac:dyDescent="0.35">
      <c r="C61" s="207"/>
      <c r="D61" s="256"/>
      <c r="E61" s="256"/>
      <c r="F61" s="256"/>
      <c r="G61" s="256"/>
      <c r="H61" s="257"/>
      <c r="I61" s="250"/>
      <c r="J61" s="56"/>
      <c r="K61" s="495" t="s">
        <v>496</v>
      </c>
      <c r="L61" s="495"/>
      <c r="M61" s="495"/>
      <c r="N61" s="495"/>
      <c r="O61" s="495"/>
      <c r="P61" s="44"/>
      <c r="Q61" s="44"/>
      <c r="R61" s="44"/>
      <c r="S61" s="44"/>
      <c r="T61" s="44"/>
      <c r="U61" s="304">
        <f>(K54+AD54)</f>
        <v>0</v>
      </c>
      <c r="V61" s="297" t="str">
        <f>IF(ISNUMBER(L46),L54+AD54,"")</f>
        <v/>
      </c>
      <c r="W61" s="304">
        <f>(M54+AD54)</f>
        <v>0</v>
      </c>
      <c r="X61" s="272" t="s">
        <v>15</v>
      </c>
      <c r="Y61" s="250"/>
      <c r="Z61" s="259"/>
      <c r="AA61" s="256"/>
      <c r="AB61" s="256"/>
      <c r="AC61" s="256"/>
      <c r="AD61" s="256"/>
      <c r="AE61" s="256"/>
      <c r="AF61" s="256"/>
      <c r="AG61" s="256"/>
      <c r="AH61" s="256"/>
      <c r="AI61" s="207"/>
      <c r="AJ61" s="16"/>
      <c r="AK61" s="16"/>
      <c r="AL61" s="14"/>
      <c r="AM61" s="14"/>
      <c r="AN61" s="14"/>
      <c r="AO61" s="14"/>
      <c r="AP61" s="14"/>
      <c r="AQ61" s="14"/>
      <c r="AR61" s="14"/>
      <c r="AS61" s="14"/>
      <c r="AT61" s="14"/>
      <c r="AU61" s="14"/>
      <c r="AV61" s="14"/>
      <c r="AW61" s="14"/>
      <c r="AX61" s="14"/>
    </row>
    <row r="62" spans="2:50" ht="15.5" x14ac:dyDescent="0.35">
      <c r="C62" s="207"/>
      <c r="D62" s="256"/>
      <c r="E62" s="256"/>
      <c r="F62" s="256"/>
      <c r="G62" s="256"/>
      <c r="H62" s="257"/>
      <c r="I62" s="250"/>
      <c r="J62" s="56"/>
      <c r="K62" s="56"/>
      <c r="L62" s="56"/>
      <c r="M62" s="56"/>
      <c r="N62" s="56"/>
      <c r="O62" s="56"/>
      <c r="P62" s="56"/>
      <c r="Q62" s="56"/>
      <c r="R62" s="56"/>
      <c r="S62" s="56"/>
      <c r="T62" s="56"/>
      <c r="U62" s="262"/>
      <c r="V62" s="262"/>
      <c r="W62" s="262"/>
      <c r="X62" s="272"/>
      <c r="Y62" s="250"/>
      <c r="Z62" s="259"/>
      <c r="AA62" s="256"/>
      <c r="AB62" s="256"/>
      <c r="AC62" s="256"/>
      <c r="AD62" s="256"/>
      <c r="AE62" s="256"/>
      <c r="AF62" s="256"/>
      <c r="AG62" s="256"/>
      <c r="AH62" s="256"/>
      <c r="AI62" s="207"/>
      <c r="AJ62" s="16"/>
      <c r="AK62" s="16"/>
      <c r="AL62" s="14"/>
      <c r="AM62" s="14"/>
      <c r="AN62" s="14"/>
      <c r="AO62" s="14"/>
      <c r="AP62" s="14"/>
      <c r="AQ62" s="14"/>
      <c r="AR62" s="14"/>
      <c r="AS62" s="14"/>
      <c r="AT62" s="14"/>
      <c r="AU62" s="14"/>
      <c r="AV62" s="14"/>
      <c r="AW62" s="14"/>
      <c r="AX62" s="14"/>
    </row>
    <row r="63" spans="2:50" ht="10.5" customHeight="1" x14ac:dyDescent="0.35">
      <c r="C63" s="207"/>
      <c r="D63" s="256"/>
      <c r="E63" s="256"/>
      <c r="F63" s="256"/>
      <c r="G63" s="256"/>
      <c r="H63" s="257"/>
      <c r="I63" s="250"/>
      <c r="J63" s="56"/>
      <c r="K63" s="504" t="s">
        <v>579</v>
      </c>
      <c r="L63" s="504"/>
      <c r="M63" s="504"/>
      <c r="N63" s="504"/>
      <c r="O63" s="249"/>
      <c r="P63" s="249"/>
      <c r="Q63" s="249"/>
      <c r="R63" s="249"/>
      <c r="S63" s="249"/>
      <c r="T63" s="249"/>
      <c r="U63" s="304">
        <f>(K55+AD55)</f>
        <v>0</v>
      </c>
      <c r="V63" s="297"/>
      <c r="W63" s="304">
        <f>(M55+AD55)</f>
        <v>0</v>
      </c>
      <c r="X63" s="272" t="s">
        <v>15</v>
      </c>
      <c r="Y63" s="250"/>
      <c r="Z63" s="259"/>
      <c r="AA63" s="256"/>
      <c r="AB63" s="256"/>
      <c r="AC63" s="256"/>
      <c r="AD63" s="256"/>
      <c r="AE63" s="256"/>
      <c r="AF63" s="256"/>
      <c r="AG63" s="256"/>
      <c r="AH63" s="256"/>
      <c r="AI63" s="207"/>
      <c r="AJ63" s="16"/>
      <c r="AK63" s="16"/>
      <c r="AL63" s="14"/>
      <c r="AM63" s="14"/>
      <c r="AN63" s="14"/>
      <c r="AO63" s="14"/>
      <c r="AP63" s="14"/>
      <c r="AQ63" s="14"/>
      <c r="AR63" s="14"/>
      <c r="AS63" s="14"/>
      <c r="AT63" s="14"/>
      <c r="AU63" s="14"/>
      <c r="AV63" s="14"/>
      <c r="AW63" s="14"/>
      <c r="AX63" s="14"/>
    </row>
    <row r="64" spans="2:50" ht="16" thickBot="1" x14ac:dyDescent="0.4">
      <c r="C64" s="207"/>
      <c r="D64" s="256"/>
      <c r="E64" s="256"/>
      <c r="F64" s="256"/>
      <c r="G64" s="256"/>
      <c r="H64" s="305"/>
      <c r="I64" s="301"/>
      <c r="J64" s="301"/>
      <c r="K64" s="301"/>
      <c r="L64" s="301"/>
      <c r="M64" s="301"/>
      <c r="N64" s="301"/>
      <c r="O64" s="301"/>
      <c r="P64" s="301"/>
      <c r="Q64" s="301"/>
      <c r="R64" s="301"/>
      <c r="S64" s="301"/>
      <c r="T64" s="301"/>
      <c r="U64" s="301"/>
      <c r="V64" s="301"/>
      <c r="W64" s="301"/>
      <c r="X64" s="301"/>
      <c r="Y64" s="301"/>
      <c r="Z64" s="306"/>
      <c r="AA64" s="256"/>
      <c r="AB64" s="256"/>
      <c r="AC64" s="256"/>
      <c r="AD64" s="256"/>
      <c r="AE64" s="256"/>
      <c r="AF64" s="256"/>
      <c r="AG64" s="256"/>
      <c r="AH64" s="256"/>
      <c r="AI64" s="207"/>
      <c r="AJ64" s="16"/>
      <c r="AK64" s="16"/>
    </row>
    <row r="65" spans="3:37" ht="15.5" x14ac:dyDescent="0.35">
      <c r="C65" s="16"/>
      <c r="D65" s="307"/>
      <c r="E65" s="307"/>
      <c r="F65" s="307"/>
      <c r="G65" s="307"/>
      <c r="H65" s="209"/>
      <c r="I65" s="209"/>
      <c r="J65" s="209"/>
      <c r="K65" s="209"/>
      <c r="L65" s="209"/>
      <c r="M65" s="209"/>
      <c r="N65" s="209"/>
      <c r="O65" s="209"/>
      <c r="P65" s="209"/>
      <c r="Q65" s="209"/>
      <c r="R65" s="209"/>
      <c r="S65" s="209"/>
      <c r="T65" s="209"/>
      <c r="U65" s="209"/>
      <c r="V65" s="209"/>
      <c r="W65" s="209"/>
      <c r="X65" s="209"/>
      <c r="Y65" s="209"/>
      <c r="Z65" s="209"/>
      <c r="AA65" s="307"/>
      <c r="AB65" s="307"/>
      <c r="AC65" s="307"/>
      <c r="AD65" s="307"/>
      <c r="AE65" s="307"/>
      <c r="AF65" s="307"/>
      <c r="AG65" s="307"/>
      <c r="AH65" s="307"/>
      <c r="AI65" s="16"/>
      <c r="AJ65" s="16"/>
      <c r="AK65" s="16"/>
    </row>
    <row r="66" spans="3:37" ht="15.5" x14ac:dyDescent="0.35">
      <c r="C66" s="16"/>
      <c r="D66" s="307"/>
      <c r="E66" s="307"/>
      <c r="F66" s="307"/>
      <c r="G66" s="307"/>
      <c r="H66" s="209"/>
      <c r="I66" s="209"/>
      <c r="J66" s="209"/>
      <c r="K66" s="209"/>
      <c r="L66" s="209"/>
      <c r="M66" s="209"/>
      <c r="N66" s="209"/>
      <c r="O66" s="209"/>
      <c r="P66" s="209"/>
      <c r="Q66" s="209"/>
      <c r="R66" s="209"/>
      <c r="S66" s="209"/>
      <c r="T66" s="209"/>
      <c r="U66" s="209"/>
      <c r="V66" s="209"/>
      <c r="W66" s="209"/>
      <c r="X66" s="209"/>
      <c r="Y66" s="209"/>
      <c r="Z66" s="209"/>
      <c r="AA66" s="307"/>
      <c r="AB66" s="307"/>
      <c r="AC66" s="307"/>
      <c r="AD66" s="307"/>
      <c r="AE66" s="307"/>
      <c r="AF66" s="307"/>
      <c r="AG66" s="307"/>
      <c r="AH66" s="307"/>
      <c r="AI66" s="16"/>
      <c r="AJ66" s="16"/>
      <c r="AK66" s="16"/>
    </row>
    <row r="67" spans="3:37" x14ac:dyDescent="0.25">
      <c r="C67" s="16"/>
      <c r="D67" s="16"/>
      <c r="E67" s="16"/>
      <c r="F67" s="16"/>
      <c r="G67" s="16"/>
      <c r="AA67" s="16"/>
      <c r="AB67" s="16"/>
      <c r="AC67" s="16"/>
      <c r="AD67" s="16"/>
      <c r="AE67" s="16"/>
      <c r="AF67" s="16"/>
      <c r="AG67" s="16"/>
      <c r="AH67" s="16"/>
      <c r="AI67" s="16"/>
      <c r="AJ67" s="16"/>
      <c r="AK67" s="16"/>
    </row>
    <row r="68" spans="3:37" x14ac:dyDescent="0.25">
      <c r="AA68" s="16"/>
      <c r="AB68" s="16"/>
      <c r="AC68" s="16"/>
      <c r="AD68" s="16"/>
      <c r="AE68" s="16"/>
      <c r="AF68" s="16"/>
      <c r="AG68" s="16"/>
      <c r="AH68" s="16"/>
      <c r="AI68" s="16"/>
      <c r="AJ68" s="16"/>
      <c r="AK68" s="16"/>
    </row>
  </sheetData>
  <sheetProtection algorithmName="SHA-512" hashValue="79vcbjkDEfeLzjGy/vvk3WgxVYzGoekD2vNOUCspKJgb4QmzZwZvRlQULXLPrgkAY9oFyrcY9VGsbdknXPkT7Q==" saltValue="QUD/Fbt8JvvWrMBSVHMOoQ==" spinCount="100000" sheet="1" objects="1" scenarios="1" selectLockedCells="1"/>
  <mergeCells count="45">
    <mergeCell ref="K63:N63"/>
    <mergeCell ref="T46:X46"/>
    <mergeCell ref="T47:X47"/>
    <mergeCell ref="T54:AA54"/>
    <mergeCell ref="AL49:AX49"/>
    <mergeCell ref="T55:AA55"/>
    <mergeCell ref="K3:X3"/>
    <mergeCell ref="I4:X6"/>
    <mergeCell ref="I30:X30"/>
    <mergeCell ref="I3:J3"/>
    <mergeCell ref="I32:X32"/>
    <mergeCell ref="K8:U8"/>
    <mergeCell ref="K15:U15"/>
    <mergeCell ref="K17:U17"/>
    <mergeCell ref="K18:U18"/>
    <mergeCell ref="K12:N12"/>
    <mergeCell ref="K19:U19"/>
    <mergeCell ref="K20:U20"/>
    <mergeCell ref="D37:Q39"/>
    <mergeCell ref="T37:AH39"/>
    <mergeCell ref="D49:Q49"/>
    <mergeCell ref="T49:AH49"/>
    <mergeCell ref="K22:U22"/>
    <mergeCell ref="V34:AC34"/>
    <mergeCell ref="E34:K35"/>
    <mergeCell ref="K29:R29"/>
    <mergeCell ref="X27:Y27"/>
    <mergeCell ref="U36:AH36"/>
    <mergeCell ref="E36:Q36"/>
    <mergeCell ref="D55:F55"/>
    <mergeCell ref="D54:F54"/>
    <mergeCell ref="K59:N59"/>
    <mergeCell ref="K61:O61"/>
    <mergeCell ref="K11:U11"/>
    <mergeCell ref="D52:J52"/>
    <mergeCell ref="T42:AC42"/>
    <mergeCell ref="T44:AB44"/>
    <mergeCell ref="D46:F46"/>
    <mergeCell ref="T45:AA45"/>
    <mergeCell ref="T52:AC52"/>
    <mergeCell ref="D42:J42"/>
    <mergeCell ref="D44:J44"/>
    <mergeCell ref="K25:N25"/>
    <mergeCell ref="K27:N27"/>
    <mergeCell ref="K14:U14"/>
  </mergeCells>
  <conditionalFormatting sqref="AE46">
    <cfRule type="expression" dxfId="65" priority="5">
      <formula>AND($AD46="Please enter effluent concentration in cell to right:","1")</formula>
    </cfRule>
  </conditionalFormatting>
  <conditionalFormatting sqref="AE47">
    <cfRule type="expression" dxfId="64" priority="4">
      <formula>AND($AD46="Please enter effluent concentration in cell to right:","1")</formula>
    </cfRule>
  </conditionalFormatting>
  <conditionalFormatting sqref="L46">
    <cfRule type="expression" dxfId="63" priority="3">
      <formula>AND($L$46&lt;K46)</formula>
    </cfRule>
  </conditionalFormatting>
  <conditionalFormatting sqref="L54">
    <cfRule type="expression" dxfId="62" priority="2">
      <formula>AND($L$46&lt;K46)</formula>
    </cfRule>
  </conditionalFormatting>
  <conditionalFormatting sqref="V61">
    <cfRule type="expression" dxfId="61" priority="1">
      <formula>AND($L$46&lt;K46)</formula>
    </cfRule>
  </conditionalFormatting>
  <dataValidations count="3">
    <dataValidation type="list" allowBlank="1" showInputMessage="1" showErrorMessage="1" sqref="K44" xr:uid="{09BC1716-7948-4F98-8E3A-277F4E17751E}">
      <formula1>Wastewater</formula1>
    </dataValidation>
    <dataValidation type="list" allowBlank="1" showInputMessage="1" showErrorMessage="1" sqref="N34 AD34" xr:uid="{0E5A7B37-1AF1-47CC-AA54-9FF5CAEB322F}">
      <formula1>"Yes, No"</formula1>
    </dataValidation>
    <dataValidation type="list" allowBlank="1" showInputMessage="1" showErrorMessage="1" sqref="AD44" xr:uid="{8F47862D-8150-4E03-A11F-32470ADB32A1}">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r:id="rId1"/>
  <headerFooter>
    <oddHeader>&amp;LPhosphate Budget Calculator&amp;CStage 1</oddHeader>
    <oddFooter>&amp;LVersion 2.2&amp;R&amp;D</oddFooter>
  </headerFooter>
  <customProperties>
    <customPr name="SSC_SHEET_GUID" r:id="rId2"/>
  </customProperties>
  <webPublishItems count="1">
    <webPublishItem id="22879" divId="Norfolk budget Calc_V1.0_22879" sourceType="sheet" destinationFile="C:\Users\305327\Documents\Environmental Services proposals\Norfolk Nutrients Opportunity\Calculator\Norfolk budget Calc_V1.0 Items.htm" title="Norfolk Nutrient Calculator - items"/>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rgb="FFD6F4FE"/>
    <pageSetUpPr fitToPage="1"/>
  </sheetPr>
  <dimension ref="A1:BC50"/>
  <sheetViews>
    <sheetView zoomScaleNormal="100" workbookViewId="0">
      <selection activeCell="K12" sqref="K12"/>
    </sheetView>
  </sheetViews>
  <sheetFormatPr defaultRowHeight="12.5" x14ac:dyDescent="0.25"/>
  <cols>
    <col min="2" max="3" width="0.81640625" customWidth="1"/>
    <col min="4" max="4" width="2.26953125" customWidth="1"/>
    <col min="9" max="9" width="12.26953125" customWidth="1"/>
    <col min="10" max="10" width="8.453125" customWidth="1"/>
    <col min="11" max="11" width="19.54296875" customWidth="1"/>
    <col min="12" max="12" width="11.1796875" customWidth="1"/>
    <col min="13" max="13" width="3" customWidth="1"/>
    <col min="14" max="14" width="1.81640625" customWidth="1"/>
    <col min="15" max="15" width="8.453125" customWidth="1"/>
    <col min="16" max="16" width="1.7265625" customWidth="1"/>
    <col min="17" max="17" width="9" customWidth="1"/>
    <col min="18" max="18" width="3.1796875" customWidth="1"/>
    <col min="19" max="19" width="6.1796875" customWidth="1"/>
    <col min="20" max="20" width="0.81640625" customWidth="1"/>
    <col min="22" max="22" width="16.81640625" customWidth="1"/>
    <col min="23" max="23" width="12.54296875" customWidth="1"/>
    <col min="28" max="28" width="11.1796875" customWidth="1"/>
    <col min="29" max="29" width="12.1796875" customWidth="1"/>
  </cols>
  <sheetData>
    <row r="1" spans="1:20" ht="13.5" thickBot="1" x14ac:dyDescent="0.35">
      <c r="A1" s="46" t="s">
        <v>16</v>
      </c>
    </row>
    <row r="2" spans="1:20" ht="3.65" customHeight="1" x14ac:dyDescent="0.25">
      <c r="B2" s="2"/>
      <c r="C2" s="3"/>
      <c r="D2" s="3"/>
      <c r="E2" s="3"/>
      <c r="F2" s="3"/>
      <c r="G2" s="3"/>
      <c r="H2" s="3"/>
      <c r="I2" s="3"/>
      <c r="J2" s="3"/>
      <c r="K2" s="3"/>
      <c r="L2" s="3"/>
      <c r="M2" s="3"/>
      <c r="N2" s="3"/>
      <c r="O2" s="3"/>
      <c r="P2" s="3"/>
      <c r="Q2" s="3"/>
      <c r="R2" s="3"/>
      <c r="S2" s="3"/>
      <c r="T2" s="4"/>
    </row>
    <row r="3" spans="1:20" ht="28.5" customHeight="1" x14ac:dyDescent="0.35">
      <c r="B3" s="5"/>
      <c r="C3" s="75"/>
      <c r="D3" s="310"/>
      <c r="E3" s="218" t="s">
        <v>16</v>
      </c>
      <c r="F3" s="502" t="s">
        <v>503</v>
      </c>
      <c r="G3" s="502"/>
      <c r="H3" s="502"/>
      <c r="I3" s="502"/>
      <c r="J3" s="502"/>
      <c r="K3" s="502"/>
      <c r="L3" s="502"/>
      <c r="M3" s="502"/>
      <c r="N3" s="258"/>
      <c r="O3" s="258"/>
      <c r="P3" s="258"/>
      <c r="Q3" s="258"/>
      <c r="R3" s="258"/>
      <c r="S3" s="258"/>
      <c r="T3" s="7"/>
    </row>
    <row r="4" spans="1:20" ht="1.5" customHeight="1" x14ac:dyDescent="0.35">
      <c r="B4" s="5"/>
      <c r="C4" s="61"/>
      <c r="D4" s="311"/>
      <c r="E4" s="497" t="s">
        <v>68</v>
      </c>
      <c r="F4" s="497"/>
      <c r="G4" s="497"/>
      <c r="H4" s="497"/>
      <c r="I4" s="497"/>
      <c r="J4" s="497"/>
      <c r="K4" s="497"/>
      <c r="L4" s="497"/>
      <c r="M4" s="497"/>
      <c r="N4" s="497"/>
      <c r="O4" s="497"/>
      <c r="P4" s="497"/>
      <c r="Q4" s="497"/>
      <c r="R4" s="497"/>
      <c r="S4" s="497"/>
      <c r="T4" s="7"/>
    </row>
    <row r="5" spans="1:20" ht="15.5" x14ac:dyDescent="0.35">
      <c r="B5" s="5"/>
      <c r="C5" s="61"/>
      <c r="D5" s="311"/>
      <c r="E5" s="497"/>
      <c r="F5" s="497"/>
      <c r="G5" s="497"/>
      <c r="H5" s="497"/>
      <c r="I5" s="497"/>
      <c r="J5" s="497"/>
      <c r="K5" s="497"/>
      <c r="L5" s="497"/>
      <c r="M5" s="497"/>
      <c r="N5" s="497"/>
      <c r="O5" s="497"/>
      <c r="P5" s="497"/>
      <c r="Q5" s="497"/>
      <c r="R5" s="497"/>
      <c r="S5" s="497"/>
      <c r="T5" s="7"/>
    </row>
    <row r="6" spans="1:20" ht="23.5" customHeight="1" x14ac:dyDescent="0.35">
      <c r="B6" s="5"/>
      <c r="C6" s="48"/>
      <c r="D6" s="250"/>
      <c r="E6" s="503"/>
      <c r="F6" s="503"/>
      <c r="G6" s="503"/>
      <c r="H6" s="503"/>
      <c r="I6" s="503"/>
      <c r="J6" s="503"/>
      <c r="K6" s="503"/>
      <c r="L6" s="503"/>
      <c r="M6" s="503"/>
      <c r="N6" s="503"/>
      <c r="O6" s="503"/>
      <c r="P6" s="503"/>
      <c r="Q6" s="503"/>
      <c r="R6" s="503"/>
      <c r="S6" s="503"/>
      <c r="T6" s="7"/>
    </row>
    <row r="7" spans="1:20" ht="4" customHeight="1" x14ac:dyDescent="0.35">
      <c r="B7" s="5"/>
      <c r="C7" s="48"/>
      <c r="D7" s="303"/>
      <c r="E7" s="312"/>
      <c r="F7" s="312"/>
      <c r="G7" s="312"/>
      <c r="H7" s="312"/>
      <c r="I7" s="312"/>
      <c r="J7" s="312"/>
      <c r="K7" s="312"/>
      <c r="L7" s="312"/>
      <c r="M7" s="312"/>
      <c r="N7" s="261"/>
      <c r="O7" s="261"/>
      <c r="P7" s="261"/>
      <c r="Q7" s="261"/>
      <c r="R7" s="261"/>
      <c r="S7" s="261"/>
      <c r="T7" s="7"/>
    </row>
    <row r="8" spans="1:20" ht="15.5" x14ac:dyDescent="0.35">
      <c r="B8" s="5"/>
      <c r="C8" s="48"/>
      <c r="D8" s="250"/>
      <c r="E8" s="54" t="s">
        <v>5</v>
      </c>
      <c r="F8" s="447" t="s">
        <v>18</v>
      </c>
      <c r="G8" s="447"/>
      <c r="H8" s="447"/>
      <c r="I8" s="447"/>
      <c r="J8" s="447"/>
      <c r="K8" s="161" t="s">
        <v>2</v>
      </c>
      <c r="L8" s="161" t="s">
        <v>3</v>
      </c>
      <c r="M8" s="56"/>
      <c r="N8" s="56"/>
      <c r="O8" s="56"/>
      <c r="P8" s="56"/>
      <c r="Q8" s="56"/>
      <c r="R8" s="56"/>
      <c r="S8" s="56"/>
      <c r="T8" s="7"/>
    </row>
    <row r="9" spans="1:20" ht="9.5" customHeight="1" x14ac:dyDescent="0.35">
      <c r="B9" s="5"/>
      <c r="C9" s="48"/>
      <c r="D9" s="250"/>
      <c r="E9" s="54"/>
      <c r="F9" s="159"/>
      <c r="G9" s="159"/>
      <c r="H9" s="159"/>
      <c r="I9" s="159"/>
      <c r="J9" s="159"/>
      <c r="K9" s="161"/>
      <c r="L9" s="161"/>
      <c r="M9" s="56"/>
      <c r="N9" s="56"/>
      <c r="O9" s="56"/>
      <c r="P9" s="56"/>
      <c r="Q9" s="56"/>
      <c r="R9" s="56"/>
      <c r="S9" s="56"/>
      <c r="T9" s="7"/>
    </row>
    <row r="10" spans="1:20" ht="32.5" customHeight="1" x14ac:dyDescent="0.35">
      <c r="B10" s="5"/>
      <c r="C10" s="48"/>
      <c r="D10" s="512" t="s">
        <v>595</v>
      </c>
      <c r="E10" s="512"/>
      <c r="F10" s="512"/>
      <c r="G10" s="512"/>
      <c r="H10" s="512"/>
      <c r="I10" s="512"/>
      <c r="J10" s="512"/>
      <c r="K10" s="512"/>
      <c r="L10" s="512"/>
      <c r="M10" s="512"/>
      <c r="N10" s="512"/>
      <c r="O10" s="512"/>
      <c r="P10" s="512"/>
      <c r="Q10" s="512"/>
      <c r="R10" s="512"/>
      <c r="S10" s="512"/>
      <c r="T10" s="7"/>
    </row>
    <row r="11" spans="1:20" ht="9.5" customHeight="1" x14ac:dyDescent="0.35">
      <c r="B11" s="5"/>
      <c r="C11" s="48"/>
      <c r="D11" s="250"/>
      <c r="E11" s="54"/>
      <c r="F11" s="159"/>
      <c r="G11" s="159"/>
      <c r="H11" s="159"/>
      <c r="I11" s="159"/>
      <c r="J11" s="159"/>
      <c r="K11" s="161"/>
      <c r="L11" s="161"/>
      <c r="M11" s="56"/>
      <c r="N11" s="56"/>
      <c r="O11" s="56"/>
      <c r="P11" s="56"/>
      <c r="Q11" s="56"/>
      <c r="R11" s="56"/>
      <c r="S11" s="56"/>
      <c r="T11" s="7"/>
    </row>
    <row r="12" spans="1:20" ht="15" customHeight="1" x14ac:dyDescent="0.35">
      <c r="B12" s="5"/>
      <c r="C12" s="48"/>
      <c r="D12" s="250"/>
      <c r="E12" s="54"/>
      <c r="F12" s="447" t="s">
        <v>380</v>
      </c>
      <c r="G12" s="447"/>
      <c r="H12" s="447"/>
      <c r="I12" s="447"/>
      <c r="J12" s="447"/>
      <c r="K12" s="263" t="s">
        <v>385</v>
      </c>
      <c r="L12" s="161"/>
      <c r="M12" s="56"/>
      <c r="N12" s="56"/>
      <c r="O12" s="56"/>
      <c r="P12" s="56"/>
      <c r="Q12" s="56"/>
      <c r="R12" s="56"/>
      <c r="S12" s="56"/>
      <c r="T12" s="7"/>
    </row>
    <row r="13" spans="1:20" ht="15.5" x14ac:dyDescent="0.35">
      <c r="B13" s="5"/>
      <c r="C13" s="48"/>
      <c r="D13" s="250"/>
      <c r="E13" s="54"/>
      <c r="F13" s="447" t="s">
        <v>379</v>
      </c>
      <c r="G13" s="447"/>
      <c r="H13" s="447"/>
      <c r="I13" s="447"/>
      <c r="J13" s="447"/>
      <c r="K13" s="284" t="s">
        <v>384</v>
      </c>
      <c r="L13" s="161"/>
      <c r="M13" s="56"/>
      <c r="N13" s="56"/>
      <c r="O13" s="56"/>
      <c r="P13" s="56"/>
      <c r="Q13" s="56"/>
      <c r="R13" s="56"/>
      <c r="S13" s="56"/>
      <c r="T13" s="7"/>
    </row>
    <row r="14" spans="1:20" ht="15.5" x14ac:dyDescent="0.35">
      <c r="B14" s="5"/>
      <c r="C14" s="48"/>
      <c r="D14" s="250"/>
      <c r="E14" s="54"/>
      <c r="F14" s="447" t="s">
        <v>383</v>
      </c>
      <c r="G14" s="447"/>
      <c r="H14" s="447"/>
      <c r="I14" s="447"/>
      <c r="J14" s="447"/>
      <c r="K14" s="263" t="s">
        <v>476</v>
      </c>
      <c r="L14" s="161" t="s">
        <v>382</v>
      </c>
      <c r="M14" s="56"/>
      <c r="N14" s="56"/>
      <c r="O14" s="56"/>
      <c r="P14" s="56"/>
      <c r="Q14" s="56"/>
      <c r="R14" s="56"/>
      <c r="S14" s="56"/>
      <c r="T14" s="7"/>
    </row>
    <row r="15" spans="1:20" ht="15.5" x14ac:dyDescent="0.35">
      <c r="B15" s="5"/>
      <c r="C15" s="48"/>
      <c r="D15" s="250"/>
      <c r="E15" s="54"/>
      <c r="F15" s="447" t="s">
        <v>381</v>
      </c>
      <c r="G15" s="447"/>
      <c r="H15" s="447"/>
      <c r="I15" s="447"/>
      <c r="J15" s="447"/>
      <c r="K15" s="263" t="s">
        <v>13</v>
      </c>
      <c r="L15" s="161"/>
      <c r="M15" s="56"/>
      <c r="N15" s="56"/>
      <c r="O15" s="56"/>
      <c r="P15" s="56"/>
      <c r="Q15" s="56"/>
      <c r="R15" s="56"/>
      <c r="S15" s="56"/>
      <c r="T15" s="7"/>
    </row>
    <row r="16" spans="1:20" ht="6.5" customHeight="1" x14ac:dyDescent="0.35">
      <c r="B16" s="5"/>
      <c r="C16" s="48"/>
      <c r="D16" s="250"/>
      <c r="E16" s="54"/>
      <c r="F16" s="56"/>
      <c r="G16" s="56"/>
      <c r="H16" s="56"/>
      <c r="I16" s="56"/>
      <c r="J16" s="56"/>
      <c r="K16" s="161"/>
      <c r="L16" s="161"/>
      <c r="M16" s="56"/>
      <c r="N16" s="56"/>
      <c r="O16" s="56"/>
      <c r="P16" s="56"/>
      <c r="Q16" s="56"/>
      <c r="R16" s="56"/>
      <c r="S16" s="56"/>
      <c r="T16" s="7"/>
    </row>
    <row r="17" spans="2:55" ht="16" customHeight="1" x14ac:dyDescent="0.35">
      <c r="B17" s="5"/>
      <c r="C17" s="48"/>
      <c r="D17" s="250"/>
      <c r="E17" s="509" t="s">
        <v>584</v>
      </c>
      <c r="F17" s="509"/>
      <c r="G17" s="509"/>
      <c r="H17" s="509"/>
      <c r="I17" s="509"/>
      <c r="J17" s="509"/>
      <c r="K17" s="509"/>
      <c r="L17" s="509"/>
      <c r="M17" s="509"/>
      <c r="N17" s="509"/>
      <c r="O17" s="509"/>
      <c r="P17" s="509"/>
      <c r="Q17" s="509"/>
      <c r="R17" s="509"/>
      <c r="S17" s="509"/>
      <c r="T17" s="7"/>
    </row>
    <row r="18" spans="2:55" ht="18.5" customHeight="1" x14ac:dyDescent="0.35">
      <c r="B18" s="5"/>
      <c r="C18" s="48"/>
      <c r="D18" s="250"/>
      <c r="E18" s="508" t="s">
        <v>585</v>
      </c>
      <c r="F18" s="508"/>
      <c r="G18" s="508"/>
      <c r="H18" s="508"/>
      <c r="I18" s="508"/>
      <c r="J18" s="508"/>
      <c r="K18" s="508"/>
      <c r="L18" s="508"/>
      <c r="M18" s="508"/>
      <c r="N18" s="508"/>
      <c r="O18" s="508"/>
      <c r="P18" s="508"/>
      <c r="Q18" s="508"/>
      <c r="R18" s="508"/>
      <c r="S18" s="508"/>
      <c r="T18" s="7"/>
    </row>
    <row r="19" spans="2:55" ht="18.5" customHeight="1" x14ac:dyDescent="0.35">
      <c r="B19" s="5"/>
      <c r="C19" s="48"/>
      <c r="D19" s="250"/>
      <c r="E19" s="508" t="s">
        <v>507</v>
      </c>
      <c r="F19" s="508"/>
      <c r="G19" s="508"/>
      <c r="H19" s="508"/>
      <c r="I19" s="508"/>
      <c r="J19" s="508"/>
      <c r="K19" s="508"/>
      <c r="L19" s="508"/>
      <c r="M19" s="508"/>
      <c r="N19" s="508"/>
      <c r="O19" s="508"/>
      <c r="P19" s="508"/>
      <c r="Q19" s="508"/>
      <c r="R19" s="508"/>
      <c r="S19" s="508"/>
      <c r="T19" s="7"/>
    </row>
    <row r="20" spans="2:55" ht="19" customHeight="1" x14ac:dyDescent="0.35">
      <c r="B20" s="5"/>
      <c r="C20" s="48"/>
      <c r="D20" s="250"/>
      <c r="E20" s="508" t="s">
        <v>596</v>
      </c>
      <c r="F20" s="508"/>
      <c r="G20" s="508"/>
      <c r="H20" s="508"/>
      <c r="I20" s="508"/>
      <c r="J20" s="508"/>
      <c r="K20" s="508"/>
      <c r="L20" s="508"/>
      <c r="M20" s="508"/>
      <c r="N20" s="508"/>
      <c r="O20" s="508"/>
      <c r="P20" s="508"/>
      <c r="Q20" s="508"/>
      <c r="R20" s="508"/>
      <c r="S20" s="508"/>
      <c r="T20" s="7"/>
    </row>
    <row r="21" spans="2:55" ht="41.15" customHeight="1" x14ac:dyDescent="0.35">
      <c r="B21" s="5"/>
      <c r="C21" s="48"/>
      <c r="D21" s="250"/>
      <c r="E21" s="54" t="s">
        <v>8</v>
      </c>
      <c r="F21" s="56" t="s">
        <v>597</v>
      </c>
      <c r="G21" s="56"/>
      <c r="H21" s="56"/>
      <c r="I21" s="56"/>
      <c r="J21" s="56"/>
      <c r="K21" s="161"/>
      <c r="L21" s="161"/>
      <c r="M21" s="56"/>
      <c r="N21" s="56"/>
      <c r="O21" s="313" t="s">
        <v>396</v>
      </c>
      <c r="P21" s="313"/>
      <c r="Q21" s="313" t="s">
        <v>397</v>
      </c>
      <c r="R21" s="56"/>
      <c r="S21" s="56"/>
      <c r="T21" s="7"/>
    </row>
    <row r="22" spans="2:55" ht="14.5" customHeight="1" x14ac:dyDescent="0.35">
      <c r="B22" s="5"/>
      <c r="C22" s="48"/>
      <c r="D22" s="250"/>
      <c r="E22" s="56"/>
      <c r="F22" s="447" t="str">
        <f>'Data Tables'!AC37</f>
        <v>High density residential</v>
      </c>
      <c r="G22" s="447"/>
      <c r="H22" s="447"/>
      <c r="I22" s="447"/>
      <c r="J22" s="447"/>
      <c r="K22" s="314"/>
      <c r="L22" s="265" t="s">
        <v>17</v>
      </c>
      <c r="M22" s="56"/>
      <c r="N22" s="56"/>
      <c r="O22" s="315">
        <f>$K22*IF($K$14="550-575",'Data Tables'!AC39,IF($K$14="575-600",'Data Tables'!AC40,IF($K$14="600-625",'Data Tables'!AC41,IF($K$14="625-650",'Data Tables'!AC42,IF($K$14="650-675",'Data Tables'!AC43,IF($K$14="675-700",'Data Tables'!AC44,IF($K$14="700-750",'Data Tables'!AC45,IF($K$14="750-800",'Data Tables'!AC46,IF($K$14="800-850",'Data Tables'!AC47,'Data Tables'!AC48)))))))))</f>
        <v>0</v>
      </c>
      <c r="P22" s="316"/>
      <c r="Q22" s="317">
        <f>$K22*IF($K$14="550-575",'Data Tables'!AD39,IF($K$14="575-600",'Data Tables'!AD40,IF($K$14="600-625",'Data Tables'!AD41,IF($K$14="625-650",'Data Tables'!AD42,IF($K$14="650-675",'Data Tables'!AD43,IF($K$14="675-700",'Data Tables'!AD44,IF($K$14="700-750",'Data Tables'!AD45,IF($K$14="750-800",'Data Tables'!AD46,IF($K$14="800-850",'Data Tables'!AD47,'Data Tables'!AD48)))))))))</f>
        <v>0</v>
      </c>
      <c r="R22" s="318"/>
      <c r="S22" s="56" t="s">
        <v>398</v>
      </c>
      <c r="T22" s="7"/>
      <c r="W22" s="85"/>
      <c r="X22" s="85"/>
      <c r="Y22" s="85"/>
      <c r="Z22" s="85"/>
      <c r="AA22" s="85"/>
      <c r="AB22" s="85"/>
      <c r="AC22" s="510"/>
      <c r="AD22" s="510"/>
      <c r="AE22" s="510"/>
      <c r="AF22" s="510"/>
      <c r="AG22" s="510"/>
      <c r="AH22" s="510"/>
    </row>
    <row r="23" spans="2:55" ht="14.5" customHeight="1" x14ac:dyDescent="0.35">
      <c r="B23" s="5"/>
      <c r="C23" s="48"/>
      <c r="D23" s="250"/>
      <c r="E23" s="56"/>
      <c r="F23" s="447" t="str">
        <f>'Data Tables'!AE37</f>
        <v>Medium density residential</v>
      </c>
      <c r="G23" s="447"/>
      <c r="H23" s="447"/>
      <c r="I23" s="447"/>
      <c r="J23" s="447"/>
      <c r="K23" s="314"/>
      <c r="L23" s="265" t="s">
        <v>17</v>
      </c>
      <c r="M23" s="56"/>
      <c r="N23" s="56"/>
      <c r="O23" s="315">
        <f>$K23*IF($K$14="550-575",'Data Tables'!AE39,IF($K$14="575-600",'Data Tables'!AE40,IF($K$14="600-625",'Data Tables'!AE41,IF($K$14="625-650",'Data Tables'!AE42,IF($K$14="650-675",'Data Tables'!AE43,IF($K$14="675-700",'Data Tables'!AE44,IF($K$14="700-750",'Data Tables'!AE45,IF($K$14="750-800",'Data Tables'!AE46,IF($K$14="800-850",'Data Tables'!AE47,'Data Tables'!AE48)))))))))</f>
        <v>0</v>
      </c>
      <c r="P23" s="316"/>
      <c r="Q23" s="317">
        <f>$K23*IF($K$14="550-575",'Data Tables'!AF39,IF($K$14="575-600",'Data Tables'!AF40,IF($K$14="600-625",'Data Tables'!AF41,IF($K$14="625-650",'Data Tables'!AF42,IF($K$14="650-675",'Data Tables'!AF43,IF($K$14="675-700",'Data Tables'!AF44,IF($K$14="700-750",'Data Tables'!AF45,IF($K$14="750-800",'Data Tables'!AF46,IF($K$14="800-850",'Data Tables'!AF47,'Data Tables'!AF48)))))))))</f>
        <v>0</v>
      </c>
      <c r="R23" s="318"/>
      <c r="S23" s="56" t="s">
        <v>398</v>
      </c>
      <c r="T23" s="7"/>
      <c r="W23" s="84"/>
      <c r="X23" s="84"/>
      <c r="Y23" s="84"/>
      <c r="Z23" s="84"/>
      <c r="AA23" s="84"/>
      <c r="AB23" s="84"/>
      <c r="AC23" s="511"/>
      <c r="AD23" s="511"/>
      <c r="AE23" s="511"/>
      <c r="AF23" s="511"/>
      <c r="AG23" s="511"/>
      <c r="AH23" s="511"/>
    </row>
    <row r="24" spans="2:55" ht="14.5" customHeight="1" x14ac:dyDescent="0.35">
      <c r="B24" s="5"/>
      <c r="C24" s="48"/>
      <c r="D24" s="250"/>
      <c r="E24" s="56"/>
      <c r="F24" s="447" t="str">
        <f>'Data Tables'!AG37</f>
        <v>Low density residential</v>
      </c>
      <c r="G24" s="447"/>
      <c r="H24" s="447"/>
      <c r="I24" s="447"/>
      <c r="J24" s="447"/>
      <c r="K24" s="314"/>
      <c r="L24" s="265" t="s">
        <v>17</v>
      </c>
      <c r="M24" s="56"/>
      <c r="N24" s="56"/>
      <c r="O24" s="315">
        <f>$K24*IF($K$14="550-575",'Data Tables'!AG39,IF($K$14="575-600",'Data Tables'!AG40,IF($K$14="600-625",'Data Tables'!AG41,IF($K$14="625-650",'Data Tables'!AG42,IF($K$14="650-675",'Data Tables'!AG43,IF($K$14="675-700",'Data Tables'!AG44,IF($K$14="700-750",'Data Tables'!AG45,IF($K$14="750-800",'Data Tables'!AG46,IF($K$14="800-850",'Data Tables'!AG47,'Data Tables'!AG48)))))))))</f>
        <v>0</v>
      </c>
      <c r="P24" s="316"/>
      <c r="Q24" s="317">
        <f>$K24*IF($K$14="550-575",'Data Tables'!AH39,IF($K$14="575-600",'Data Tables'!AH40,IF($K$14="600-625",'Data Tables'!AH41,IF($K$14="625-650",'Data Tables'!AH42,IF($K$14="650-675",'Data Tables'!AH43,IF($K$14="675-700",'Data Tables'!AH44,IF($K$14="700-750",'Data Tables'!AH45,IF($K$14="750-800",'Data Tables'!AH46,IF($K$14="800-850",'Data Tables'!AH47,'Data Tables'!AH48)))))))))</f>
        <v>0</v>
      </c>
      <c r="R24" s="318"/>
      <c r="S24" s="56" t="s">
        <v>398</v>
      </c>
      <c r="T24" s="7"/>
      <c r="W24" s="35"/>
      <c r="X24" s="35"/>
      <c r="Y24" s="35"/>
      <c r="Z24" s="35"/>
      <c r="AA24" s="35"/>
      <c r="AB24" s="35"/>
      <c r="AC24" s="35"/>
      <c r="AD24" s="35"/>
      <c r="AE24" s="35"/>
      <c r="AF24" s="35"/>
      <c r="AG24" s="35"/>
      <c r="AH24" s="35"/>
    </row>
    <row r="25" spans="2:55" ht="14.5" customHeight="1" x14ac:dyDescent="0.35">
      <c r="B25" s="5"/>
      <c r="C25" s="48"/>
      <c r="D25" s="250"/>
      <c r="E25" s="56"/>
      <c r="F25" s="447" t="str">
        <f>'Data Tables'!AI37</f>
        <v>Commercial / Industrial</v>
      </c>
      <c r="G25" s="447"/>
      <c r="H25" s="447"/>
      <c r="I25" s="447"/>
      <c r="J25" s="447"/>
      <c r="K25" s="314"/>
      <c r="L25" s="265" t="s">
        <v>17</v>
      </c>
      <c r="M25" s="56"/>
      <c r="N25" s="56"/>
      <c r="O25" s="315">
        <f>$K25*IF($K$14="550-575",'Data Tables'!AI39,IF($K$14="575-600",'Data Tables'!AI40,IF($K$14="600-625",'Data Tables'!AI41,IF($K$14="625-650",'Data Tables'!AI42,IF($K$14="650-675",'Data Tables'!AI43,IF($K$14="675-700",'Data Tables'!AI44,IF($K$14="700-750",'Data Tables'!AI45,IF($K$14="750-800",'Data Tables'!AI46,IF($K$14="800-850",'Data Tables'!AI47,'Data Tables'!AI48)))))))))</f>
        <v>0</v>
      </c>
      <c r="P25" s="316"/>
      <c r="Q25" s="317">
        <f>$K25*IF($K$14="550-575",'Data Tables'!AJ39,IF($K$14="575-600",'Data Tables'!AJ40,IF($K$14="600-625",'Data Tables'!AJ41,IF($K$14="625-650",'Data Tables'!AJ42,IF($K$14="650-675",'Data Tables'!AJ43,IF($K$14="675-700",'Data Tables'!AJ44,IF($K$14="700-750",'Data Tables'!AJ45,IF($K$14="750-800",'Data Tables'!AJ46,IF($K$14="800-850",'Data Tables'!AJ47,'Data Tables'!AJ48)))))))))</f>
        <v>0</v>
      </c>
      <c r="R25" s="318"/>
      <c r="S25" s="56" t="s">
        <v>398</v>
      </c>
      <c r="T25" s="7"/>
      <c r="W25" s="35"/>
      <c r="X25" s="35"/>
      <c r="Y25" s="35"/>
      <c r="Z25" s="35"/>
      <c r="AA25" s="35"/>
      <c r="AB25" s="35"/>
      <c r="AC25" s="35"/>
      <c r="AD25" s="35"/>
      <c r="AE25" s="35"/>
      <c r="AF25" s="35"/>
      <c r="AG25" s="35"/>
      <c r="AH25" s="35"/>
    </row>
    <row r="26" spans="2:55" ht="14.5" customHeight="1" x14ac:dyDescent="0.35">
      <c r="B26" s="5"/>
      <c r="C26" s="48"/>
      <c r="D26" s="250"/>
      <c r="E26" s="56"/>
      <c r="F26" s="447" t="str">
        <f>'Data Tables'!AK37</f>
        <v>Urban open space</v>
      </c>
      <c r="G26" s="447"/>
      <c r="H26" s="447"/>
      <c r="I26" s="447"/>
      <c r="J26" s="447"/>
      <c r="K26" s="314"/>
      <c r="L26" s="265" t="s">
        <v>17</v>
      </c>
      <c r="M26" s="56"/>
      <c r="N26" s="56"/>
      <c r="O26" s="315">
        <f>$K26*IF($K$14="550-575",'Data Tables'!AK39,IF($K$14="575-600",'Data Tables'!AK40,IF($K$14="600-625",'Data Tables'!AK41,IF($K$14="625-650",'Data Tables'!AK42,IF($K$14="650-675",'Data Tables'!AK43,IF($K$14="675-700",'Data Tables'!AK44,IF($K$14="700-750",'Data Tables'!AK45,IF($K$14="750-800",'Data Tables'!AK46,IF($K$14="800-850",'Data Tables'!AK47,'Data Tables'!AK48)))))))))</f>
        <v>0</v>
      </c>
      <c r="P26" s="316"/>
      <c r="Q26" s="317">
        <f>$K26*IF($K$14="550-575",'Data Tables'!AL39,IF($K$14="575-600",'Data Tables'!AL40,IF($K$14="600-625",'Data Tables'!AL41,IF($K$14="625-650",'Data Tables'!AL42,IF($K$14="650-675",'Data Tables'!AL43,IF($K$14="675-700",'Data Tables'!AL44,IF($K$14="700-750",'Data Tables'!AL45,IF($K$14="750-800",'Data Tables'!AL46,IF($K$14="800-850",'Data Tables'!AL47,'Data Tables'!AL48)))))))))</f>
        <v>0</v>
      </c>
      <c r="R26" s="318"/>
      <c r="S26" s="56" t="s">
        <v>398</v>
      </c>
      <c r="T26" s="7"/>
      <c r="W26" s="35"/>
      <c r="X26" s="35"/>
      <c r="Y26" s="35"/>
      <c r="Z26" s="35"/>
      <c r="AA26" s="35"/>
      <c r="AB26" s="35"/>
      <c r="AC26" s="35"/>
      <c r="AD26" s="35"/>
      <c r="AE26" s="35"/>
      <c r="AF26" s="35"/>
      <c r="AG26" s="35"/>
      <c r="AH26" s="35"/>
      <c r="AK26" s="16"/>
      <c r="AL26" s="16"/>
      <c r="AM26" s="16"/>
      <c r="AN26" s="16"/>
      <c r="AO26" s="16"/>
      <c r="AP26" s="16"/>
      <c r="AQ26" s="16"/>
      <c r="AR26" s="16"/>
      <c r="AS26" s="16"/>
      <c r="AT26" s="16"/>
      <c r="AU26" s="16"/>
      <c r="AV26" s="16"/>
      <c r="AW26" s="16"/>
      <c r="AX26" s="16"/>
      <c r="AY26" s="16"/>
    </row>
    <row r="27" spans="2:55" ht="14.5" customHeight="1" x14ac:dyDescent="0.35">
      <c r="B27" s="5"/>
      <c r="C27" s="48"/>
      <c r="D27" s="250"/>
      <c r="E27" s="56"/>
      <c r="F27" s="447" t="s">
        <v>23</v>
      </c>
      <c r="G27" s="447"/>
      <c r="H27" s="447"/>
      <c r="I27" s="447"/>
      <c r="J27" s="447"/>
      <c r="K27" s="314"/>
      <c r="L27" s="265" t="s">
        <v>17</v>
      </c>
      <c r="M27" s="56"/>
      <c r="N27" s="56"/>
      <c r="O27" s="319">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316"/>
      <c r="Q27" s="319">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320"/>
      <c r="S27" s="56" t="s">
        <v>398</v>
      </c>
      <c r="T27" s="7"/>
      <c r="W27" s="127"/>
      <c r="X27" s="127"/>
      <c r="Y27" s="127"/>
      <c r="Z27" s="127"/>
      <c r="AA27" s="127"/>
      <c r="AB27" s="127"/>
      <c r="AC27" s="127"/>
      <c r="AD27" s="127"/>
      <c r="AE27" s="127"/>
      <c r="AF27" s="127"/>
      <c r="AG27" s="127"/>
      <c r="AH27" s="127"/>
      <c r="AI27" s="127"/>
      <c r="AJ27" s="127"/>
      <c r="AK27" s="127"/>
      <c r="AL27" s="127"/>
      <c r="AM27" s="127"/>
      <c r="AN27" s="127"/>
      <c r="AO27" s="127"/>
      <c r="AP27" s="16"/>
      <c r="AQ27" s="127"/>
      <c r="AR27" s="127"/>
      <c r="AS27" s="127"/>
      <c r="AT27" s="127"/>
      <c r="AU27" s="127"/>
      <c r="AV27" s="127"/>
      <c r="AW27" s="127"/>
      <c r="AX27" s="127"/>
      <c r="AY27" s="127"/>
      <c r="AZ27" s="127"/>
      <c r="BA27" s="127"/>
      <c r="BB27" s="127"/>
      <c r="BC27" s="127"/>
    </row>
    <row r="28" spans="2:55" ht="14.5" customHeight="1" x14ac:dyDescent="0.35">
      <c r="B28" s="5"/>
      <c r="C28" s="48"/>
      <c r="D28" s="250"/>
      <c r="E28" s="56"/>
      <c r="F28" s="506" t="s">
        <v>251</v>
      </c>
      <c r="G28" s="506"/>
      <c r="H28" s="506"/>
      <c r="I28" s="506"/>
      <c r="J28" s="506"/>
      <c r="K28" s="314"/>
      <c r="L28" s="265" t="s">
        <v>17</v>
      </c>
      <c r="M28" s="56"/>
      <c r="N28" s="56"/>
      <c r="O28" s="319">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316"/>
      <c r="Q28" s="319">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320"/>
      <c r="S28" s="56" t="s">
        <v>398</v>
      </c>
      <c r="T28" s="7"/>
      <c r="W28" s="127"/>
      <c r="X28" s="127"/>
      <c r="Y28" s="127"/>
      <c r="Z28" s="127"/>
      <c r="AA28" s="127"/>
      <c r="AB28" s="127"/>
      <c r="AC28" s="127"/>
      <c r="AD28" s="127"/>
      <c r="AE28" s="127"/>
      <c r="AF28" s="127"/>
      <c r="AG28" s="127"/>
      <c r="AH28" s="127"/>
      <c r="AI28" s="127"/>
      <c r="AJ28" s="127"/>
      <c r="AK28" s="127"/>
      <c r="AL28" s="127"/>
      <c r="AM28" s="127"/>
      <c r="AN28" s="127"/>
      <c r="AO28" s="127"/>
      <c r="AP28" s="16"/>
      <c r="AQ28" s="127"/>
      <c r="AR28" s="127"/>
      <c r="AS28" s="127"/>
      <c r="AT28" s="127"/>
      <c r="AU28" s="127"/>
      <c r="AV28" s="127"/>
      <c r="AW28" s="127"/>
      <c r="AX28" s="127"/>
      <c r="AY28" s="127"/>
      <c r="AZ28" s="127"/>
      <c r="BA28" s="127"/>
      <c r="BB28" s="127"/>
      <c r="BC28" s="127"/>
    </row>
    <row r="29" spans="2:55" ht="14.5" customHeight="1" x14ac:dyDescent="0.35">
      <c r="B29" s="5"/>
      <c r="C29" s="48"/>
      <c r="D29" s="250"/>
      <c r="E29" s="56"/>
      <c r="F29" s="506" t="s">
        <v>395</v>
      </c>
      <c r="G29" s="506"/>
      <c r="H29" s="506"/>
      <c r="I29" s="506"/>
      <c r="J29" s="506"/>
      <c r="K29" s="314"/>
      <c r="L29" s="265" t="s">
        <v>17</v>
      </c>
      <c r="M29" s="56"/>
      <c r="N29" s="56"/>
      <c r="O29" s="319">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316"/>
      <c r="Q29" s="319">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320"/>
      <c r="S29" s="56" t="s">
        <v>398</v>
      </c>
      <c r="T29" s="7"/>
      <c r="W29" s="127"/>
      <c r="X29" s="127"/>
      <c r="Y29" s="127"/>
      <c r="Z29" s="127"/>
      <c r="AA29" s="127"/>
      <c r="AB29" s="127"/>
      <c r="AC29" s="127"/>
      <c r="AD29" s="127"/>
      <c r="AE29" s="127"/>
      <c r="AF29" s="127"/>
      <c r="AG29" s="127"/>
      <c r="AH29" s="127"/>
      <c r="AI29" s="127"/>
      <c r="AJ29" s="127"/>
      <c r="AK29" s="127"/>
      <c r="AL29" s="127"/>
      <c r="AM29" s="127"/>
      <c r="AN29" s="127"/>
      <c r="AO29" s="127"/>
      <c r="AP29" s="16"/>
      <c r="AQ29" s="127"/>
      <c r="AR29" s="127"/>
      <c r="AS29" s="127"/>
      <c r="AT29" s="127"/>
      <c r="AU29" s="127"/>
      <c r="AV29" s="127"/>
      <c r="AW29" s="127"/>
      <c r="AX29" s="127"/>
      <c r="AY29" s="127"/>
      <c r="AZ29" s="127"/>
      <c r="BA29" s="127"/>
      <c r="BB29" s="127"/>
      <c r="BC29" s="127"/>
    </row>
    <row r="30" spans="2:55" ht="14.5" customHeight="1" x14ac:dyDescent="0.35">
      <c r="B30" s="5"/>
      <c r="C30" s="48"/>
      <c r="D30" s="250"/>
      <c r="E30" s="56"/>
      <c r="F30" s="506" t="s">
        <v>252</v>
      </c>
      <c r="G30" s="506"/>
      <c r="H30" s="506"/>
      <c r="I30" s="506"/>
      <c r="J30" s="506"/>
      <c r="K30" s="314"/>
      <c r="L30" s="265" t="s">
        <v>17</v>
      </c>
      <c r="M30" s="56"/>
      <c r="N30" s="56"/>
      <c r="O30" s="319">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316"/>
      <c r="Q30" s="319">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320"/>
      <c r="S30" s="56" t="s">
        <v>398</v>
      </c>
      <c r="T30" s="7"/>
      <c r="W30" s="127"/>
      <c r="X30" s="127"/>
      <c r="Y30" s="127"/>
      <c r="Z30" s="127"/>
      <c r="AA30" s="127"/>
      <c r="AB30" s="127"/>
      <c r="AC30" s="127"/>
      <c r="AD30" s="127"/>
      <c r="AE30" s="127"/>
      <c r="AF30" s="127"/>
      <c r="AG30" s="127"/>
      <c r="AH30" s="127"/>
      <c r="AI30" s="127"/>
      <c r="AJ30" s="127"/>
      <c r="AK30" s="127"/>
      <c r="AL30" s="127"/>
      <c r="AM30" s="127"/>
      <c r="AN30" s="127"/>
      <c r="AO30" s="127"/>
      <c r="AP30" s="16"/>
      <c r="AQ30" s="127"/>
      <c r="AR30" s="127"/>
      <c r="AS30" s="127"/>
      <c r="AT30" s="127"/>
      <c r="AU30" s="127"/>
      <c r="AV30" s="127"/>
      <c r="AW30" s="127"/>
      <c r="AX30" s="127"/>
      <c r="AY30" s="127"/>
      <c r="AZ30" s="127"/>
      <c r="BA30" s="127"/>
      <c r="BB30" s="127"/>
      <c r="BC30" s="127"/>
    </row>
    <row r="31" spans="2:55" ht="14.5" customHeight="1" x14ac:dyDescent="0.35">
      <c r="B31" s="5"/>
      <c r="C31" s="48"/>
      <c r="D31" s="250"/>
      <c r="E31" s="56"/>
      <c r="F31" s="506" t="s">
        <v>386</v>
      </c>
      <c r="G31" s="506"/>
      <c r="H31" s="506"/>
      <c r="I31" s="506"/>
      <c r="J31" s="506"/>
      <c r="K31" s="314"/>
      <c r="L31" s="265" t="s">
        <v>17</v>
      </c>
      <c r="M31" s="56"/>
      <c r="N31" s="56"/>
      <c r="O31" s="319">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316"/>
      <c r="Q31" s="319">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320"/>
      <c r="S31" s="56" t="s">
        <v>398</v>
      </c>
      <c r="T31" s="7"/>
      <c r="W31" s="127"/>
      <c r="X31" s="127"/>
      <c r="Y31" s="127"/>
      <c r="Z31" s="127"/>
      <c r="AA31" s="127"/>
      <c r="AB31" s="127"/>
      <c r="AC31" s="127"/>
      <c r="AD31" s="127"/>
      <c r="AE31" s="127"/>
      <c r="AF31" s="127"/>
      <c r="AG31" s="127"/>
      <c r="AH31" s="127"/>
      <c r="AI31" s="127"/>
      <c r="AJ31" s="127"/>
      <c r="AK31" s="127"/>
      <c r="AL31" s="127"/>
      <c r="AM31" s="127"/>
      <c r="AN31" s="127"/>
      <c r="AO31" s="127"/>
      <c r="AP31" s="16"/>
      <c r="AQ31" s="127"/>
      <c r="AR31" s="127"/>
      <c r="AS31" s="127"/>
      <c r="AT31" s="127"/>
      <c r="AU31" s="127"/>
      <c r="AV31" s="127"/>
      <c r="AW31" s="127"/>
      <c r="AX31" s="127"/>
      <c r="AY31" s="127"/>
      <c r="AZ31" s="127"/>
      <c r="BA31" s="127"/>
      <c r="BB31" s="127"/>
      <c r="BC31" s="127"/>
    </row>
    <row r="32" spans="2:55" ht="14.5" customHeight="1" x14ac:dyDescent="0.35">
      <c r="B32" s="5"/>
      <c r="C32" s="48"/>
      <c r="D32" s="250"/>
      <c r="E32" s="56"/>
      <c r="F32" s="506" t="s">
        <v>22</v>
      </c>
      <c r="G32" s="506"/>
      <c r="H32" s="506"/>
      <c r="I32" s="506"/>
      <c r="J32" s="506"/>
      <c r="K32" s="314"/>
      <c r="L32" s="265" t="s">
        <v>17</v>
      </c>
      <c r="M32" s="56"/>
      <c r="N32" s="56"/>
      <c r="O32" s="319">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316"/>
      <c r="Q32" s="319">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320"/>
      <c r="S32" s="56" t="s">
        <v>398</v>
      </c>
      <c r="T32" s="7"/>
      <c r="W32" s="127"/>
      <c r="X32" s="127"/>
      <c r="Y32" s="127"/>
      <c r="Z32" s="127"/>
      <c r="AA32" s="127"/>
      <c r="AB32" s="127"/>
      <c r="AC32" s="127"/>
      <c r="AD32" s="127"/>
      <c r="AE32" s="127"/>
      <c r="AF32" s="127"/>
      <c r="AG32" s="127"/>
      <c r="AH32" s="127"/>
      <c r="AI32" s="127"/>
      <c r="AJ32" s="127"/>
      <c r="AK32" s="127"/>
      <c r="AL32" s="127"/>
      <c r="AM32" s="127"/>
      <c r="AN32" s="127"/>
      <c r="AO32" s="127"/>
      <c r="AP32" s="16"/>
      <c r="AQ32" s="127"/>
      <c r="AR32" s="127"/>
      <c r="AS32" s="127"/>
      <c r="AT32" s="127"/>
      <c r="AU32" s="127"/>
      <c r="AV32" s="127"/>
      <c r="AW32" s="127"/>
      <c r="AX32" s="127"/>
      <c r="AY32" s="127"/>
      <c r="AZ32" s="127"/>
      <c r="BA32" s="127"/>
      <c r="BB32" s="127"/>
      <c r="BC32" s="127"/>
    </row>
    <row r="33" spans="2:55" ht="14.5" customHeight="1" x14ac:dyDescent="0.35">
      <c r="B33" s="5"/>
      <c r="C33" s="48"/>
      <c r="D33" s="250"/>
      <c r="E33" s="56"/>
      <c r="F33" s="506" t="s">
        <v>387</v>
      </c>
      <c r="G33" s="506"/>
      <c r="H33" s="506"/>
      <c r="I33" s="506"/>
      <c r="J33" s="506"/>
      <c r="K33" s="314"/>
      <c r="L33" s="265" t="s">
        <v>17</v>
      </c>
      <c r="M33" s="56"/>
      <c r="N33" s="56"/>
      <c r="O33" s="319">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316"/>
      <c r="Q33" s="319">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320"/>
      <c r="S33" s="56" t="s">
        <v>398</v>
      </c>
      <c r="T33" s="7"/>
      <c r="W33" s="127"/>
      <c r="X33" s="127"/>
      <c r="Y33" s="127"/>
      <c r="Z33" s="127"/>
      <c r="AA33" s="127"/>
      <c r="AB33" s="127"/>
      <c r="AC33" s="127"/>
      <c r="AD33" s="127"/>
      <c r="AE33" s="127"/>
      <c r="AF33" s="127"/>
      <c r="AG33" s="127"/>
      <c r="AH33" s="127"/>
      <c r="AI33" s="127"/>
      <c r="AJ33" s="127"/>
      <c r="AK33" s="127"/>
      <c r="AL33" s="127"/>
      <c r="AM33" s="127"/>
      <c r="AN33" s="127"/>
      <c r="AO33" s="127"/>
      <c r="AP33" s="16"/>
      <c r="AQ33" s="127"/>
      <c r="AR33" s="127"/>
      <c r="AS33" s="127"/>
      <c r="AT33" s="127"/>
      <c r="AU33" s="127"/>
      <c r="AV33" s="127"/>
      <c r="AW33" s="127"/>
      <c r="AX33" s="127"/>
      <c r="AY33" s="127"/>
      <c r="AZ33" s="127"/>
      <c r="BA33" s="127"/>
      <c r="BB33" s="127"/>
      <c r="BC33" s="127"/>
    </row>
    <row r="34" spans="2:55" ht="14.5" customHeight="1" x14ac:dyDescent="0.35">
      <c r="B34" s="5"/>
      <c r="C34" s="48"/>
      <c r="D34" s="250"/>
      <c r="E34" s="56"/>
      <c r="F34" s="447" t="s">
        <v>512</v>
      </c>
      <c r="G34" s="447"/>
      <c r="H34" s="447"/>
      <c r="I34" s="447"/>
      <c r="J34" s="447"/>
      <c r="K34" s="314"/>
      <c r="L34" s="265" t="s">
        <v>17</v>
      </c>
      <c r="M34" s="56"/>
      <c r="N34" s="56"/>
      <c r="O34" s="319">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316"/>
      <c r="Q34" s="319">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320"/>
      <c r="S34" s="56" t="s">
        <v>398</v>
      </c>
      <c r="T34" s="7"/>
      <c r="W34" s="127"/>
      <c r="X34" s="127"/>
      <c r="Y34" s="127"/>
      <c r="Z34" s="127"/>
      <c r="AA34" s="127"/>
      <c r="AB34" s="127"/>
      <c r="AC34" s="127"/>
      <c r="AD34" s="127"/>
      <c r="AE34" s="127"/>
      <c r="AF34" s="127"/>
      <c r="AG34" s="127"/>
      <c r="AH34" s="127"/>
      <c r="AI34" s="127"/>
      <c r="AJ34" s="127"/>
      <c r="AK34" s="127"/>
      <c r="AL34" s="127"/>
      <c r="AM34" s="127"/>
      <c r="AN34" s="127"/>
      <c r="AO34" s="127"/>
      <c r="AP34" s="16"/>
      <c r="AQ34" s="127"/>
      <c r="AR34" s="127"/>
      <c r="AS34" s="127"/>
      <c r="AT34" s="127"/>
      <c r="AU34" s="127"/>
      <c r="AV34" s="127"/>
      <c r="AW34" s="127"/>
      <c r="AX34" s="127"/>
      <c r="AY34" s="127"/>
      <c r="AZ34" s="127"/>
      <c r="BA34" s="127"/>
      <c r="BB34" s="127"/>
      <c r="BC34" s="127"/>
    </row>
    <row r="35" spans="2:55" ht="14.5" customHeight="1" x14ac:dyDescent="0.35">
      <c r="B35" s="5"/>
      <c r="C35" s="48"/>
      <c r="D35" s="250"/>
      <c r="E35" s="56"/>
      <c r="F35" s="447" t="str">
        <f>'Data Tables'!N3</f>
        <v>Allotments and city farms</v>
      </c>
      <c r="G35" s="447"/>
      <c r="H35" s="447"/>
      <c r="I35" s="447"/>
      <c r="J35" s="447"/>
      <c r="K35" s="314"/>
      <c r="L35" s="265" t="s">
        <v>17</v>
      </c>
      <c r="M35" s="56"/>
      <c r="N35" s="56"/>
      <c r="O35" s="319">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Tables'!Y13,'Data Tables'!Z13)))))))))),IF($K$13="Impermeable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321"/>
      <c r="Q35" s="319">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Tables'!AS13,'Data Tables'!AT13)))))))))),IF($K$13="Impermeable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320"/>
      <c r="S35" s="56" t="s">
        <v>398</v>
      </c>
      <c r="T35" s="7"/>
      <c r="V35" s="127"/>
      <c r="W35" s="35"/>
      <c r="X35" s="35"/>
      <c r="Y35" s="35"/>
      <c r="Z35" s="35"/>
      <c r="AA35" s="35"/>
      <c r="AB35" s="35"/>
      <c r="AC35" s="35"/>
      <c r="AD35" s="35"/>
      <c r="AE35" s="35"/>
      <c r="AF35" s="35"/>
      <c r="AG35" s="35"/>
      <c r="AH35" s="35"/>
      <c r="AI35" s="16"/>
      <c r="AJ35" s="16"/>
      <c r="AK35" s="16"/>
      <c r="AL35" s="16"/>
      <c r="AM35" s="16"/>
      <c r="AN35" s="16"/>
      <c r="AO35" s="16"/>
      <c r="AP35" s="16"/>
      <c r="AQ35" s="16"/>
      <c r="AR35" s="16"/>
      <c r="AS35" s="16"/>
      <c r="AT35" s="16"/>
    </row>
    <row r="36" spans="2:55" ht="14.5" customHeight="1" x14ac:dyDescent="0.35">
      <c r="B36" s="5"/>
      <c r="C36" s="48"/>
      <c r="D36" s="250"/>
      <c r="E36" s="56"/>
      <c r="F36" s="447" t="s">
        <v>154</v>
      </c>
      <c r="G36" s="447"/>
      <c r="H36" s="447"/>
      <c r="I36" s="447"/>
      <c r="J36" s="447"/>
      <c r="K36" s="314"/>
      <c r="L36" s="265" t="s">
        <v>17</v>
      </c>
      <c r="M36" s="56"/>
      <c r="N36" s="56"/>
      <c r="O36" s="322">
        <f>K36*'Data Tables'!O5</f>
        <v>0</v>
      </c>
      <c r="P36" s="321"/>
      <c r="Q36" s="322">
        <f>K36*'Data Tables'!P5</f>
        <v>0</v>
      </c>
      <c r="R36" s="318"/>
      <c r="S36" s="56" t="s">
        <v>398</v>
      </c>
      <c r="T36" s="7"/>
      <c r="V36" s="127"/>
      <c r="W36" s="14"/>
      <c r="X36" s="14"/>
      <c r="Y36" s="14"/>
      <c r="Z36" s="14"/>
      <c r="AA36" s="14"/>
      <c r="AB36" s="14"/>
      <c r="AC36" s="14"/>
      <c r="AD36" s="14"/>
      <c r="AE36" s="14"/>
      <c r="AF36" s="14"/>
      <c r="AG36" s="14"/>
      <c r="AH36" s="14"/>
      <c r="AI36" s="16"/>
      <c r="AJ36" s="16"/>
      <c r="AK36" s="16"/>
      <c r="AL36" s="16"/>
      <c r="AM36" s="16"/>
      <c r="AN36" s="16"/>
      <c r="AO36" s="16"/>
      <c r="AP36" s="16"/>
      <c r="AQ36" s="16"/>
      <c r="AR36" s="16"/>
      <c r="AS36" s="16"/>
      <c r="AT36" s="16"/>
    </row>
    <row r="37" spans="2:55" ht="14.5" customHeight="1" x14ac:dyDescent="0.35">
      <c r="B37" s="5"/>
      <c r="C37" s="48"/>
      <c r="D37" s="250"/>
      <c r="E37" s="56"/>
      <c r="F37" s="447" t="s">
        <v>401</v>
      </c>
      <c r="G37" s="447"/>
      <c r="H37" s="447"/>
      <c r="I37" s="447"/>
      <c r="J37" s="447"/>
      <c r="K37" s="314"/>
      <c r="L37" s="265" t="s">
        <v>17</v>
      </c>
      <c r="M37" s="56"/>
      <c r="N37" s="56"/>
      <c r="O37" s="322">
        <f>K37*'Data Tables'!O4</f>
        <v>0</v>
      </c>
      <c r="P37" s="321"/>
      <c r="Q37" s="322">
        <f>K37*'Data Tables'!P4</f>
        <v>0</v>
      </c>
      <c r="R37" s="318"/>
      <c r="S37" s="56" t="s">
        <v>398</v>
      </c>
      <c r="T37" s="7"/>
      <c r="V37" s="14"/>
      <c r="W37" s="14"/>
      <c r="X37" s="14"/>
      <c r="Y37" s="14"/>
      <c r="Z37" s="14"/>
      <c r="AA37" s="14"/>
      <c r="AB37" s="14"/>
      <c r="AC37" s="14"/>
      <c r="AD37" s="14"/>
      <c r="AE37" s="14"/>
      <c r="AF37" s="14"/>
      <c r="AG37" s="14"/>
      <c r="AH37" s="14"/>
    </row>
    <row r="38" spans="2:55" ht="14.5" customHeight="1" x14ac:dyDescent="0.35">
      <c r="B38" s="5"/>
      <c r="C38" s="48"/>
      <c r="D38" s="250"/>
      <c r="E38" s="56"/>
      <c r="F38" s="447" t="s">
        <v>235</v>
      </c>
      <c r="G38" s="447"/>
      <c r="H38" s="447"/>
      <c r="I38" s="447"/>
      <c r="J38" s="447"/>
      <c r="K38" s="314"/>
      <c r="L38" s="265" t="s">
        <v>17</v>
      </c>
      <c r="M38" s="56"/>
      <c r="N38" s="56"/>
      <c r="O38" s="322">
        <f>K38*'Data Tables'!O6</f>
        <v>0</v>
      </c>
      <c r="P38" s="321"/>
      <c r="Q38" s="322">
        <f>K38*'Data Tables'!P6</f>
        <v>0</v>
      </c>
      <c r="R38" s="318"/>
      <c r="S38" s="56" t="s">
        <v>398</v>
      </c>
      <c r="T38" s="7"/>
      <c r="W38" s="85"/>
      <c r="X38" s="85"/>
      <c r="Y38" s="85"/>
      <c r="Z38" s="85"/>
      <c r="AA38" s="85"/>
      <c r="AB38" s="85"/>
      <c r="AC38" s="85"/>
      <c r="AD38" s="85"/>
      <c r="AE38" s="85"/>
      <c r="AF38" s="85"/>
      <c r="AG38" s="85"/>
      <c r="AH38" s="85"/>
    </row>
    <row r="39" spans="2:55" ht="14.5" customHeight="1" x14ac:dyDescent="0.35">
      <c r="B39" s="5"/>
      <c r="C39" s="48"/>
      <c r="D39" s="250"/>
      <c r="E39" s="56"/>
      <c r="F39" s="447" t="s">
        <v>400</v>
      </c>
      <c r="G39" s="447"/>
      <c r="H39" s="447"/>
      <c r="I39" s="447"/>
      <c r="J39" s="447"/>
      <c r="K39" s="314"/>
      <c r="L39" s="265" t="s">
        <v>17</v>
      </c>
      <c r="M39" s="56"/>
      <c r="N39" s="56"/>
      <c r="O39" s="322">
        <f>K39*'Data Tables'!O7</f>
        <v>0</v>
      </c>
      <c r="P39" s="321"/>
      <c r="Q39" s="322">
        <f>K39*'Data Tables'!P7</f>
        <v>0</v>
      </c>
      <c r="R39" s="318"/>
      <c r="S39" s="56" t="s">
        <v>398</v>
      </c>
      <c r="T39" s="7"/>
      <c r="W39" s="84"/>
      <c r="X39" s="84"/>
      <c r="Y39" s="84"/>
      <c r="Z39" s="84"/>
      <c r="AA39" s="84"/>
      <c r="AB39" s="84"/>
      <c r="AC39" s="84"/>
      <c r="AD39" s="84"/>
      <c r="AE39" s="84"/>
      <c r="AF39" s="84"/>
      <c r="AG39" s="84"/>
      <c r="AH39" s="84"/>
      <c r="AI39" s="84"/>
    </row>
    <row r="40" spans="2:55" ht="7.5" customHeight="1" x14ac:dyDescent="0.35">
      <c r="B40" s="5"/>
      <c r="C40" s="48"/>
      <c r="D40" s="250"/>
      <c r="E40" s="56"/>
      <c r="F40" s="507" t="s">
        <v>399</v>
      </c>
      <c r="G40" s="507"/>
      <c r="H40" s="507"/>
      <c r="I40" s="507"/>
      <c r="J40" s="507"/>
      <c r="K40" s="56"/>
      <c r="L40" s="265"/>
      <c r="M40" s="56"/>
      <c r="N40" s="56"/>
      <c r="O40" s="56"/>
      <c r="P40" s="56"/>
      <c r="Q40" s="56"/>
      <c r="R40" s="318"/>
      <c r="S40" s="56"/>
      <c r="T40" s="7"/>
      <c r="W40" s="35"/>
      <c r="X40" s="35"/>
      <c r="Y40" s="35"/>
      <c r="Z40" s="35"/>
      <c r="AA40" s="35"/>
      <c r="AB40" s="35"/>
      <c r="AC40" s="35"/>
      <c r="AD40" s="35"/>
      <c r="AE40" s="35"/>
      <c r="AF40" s="35"/>
      <c r="AG40" s="35"/>
      <c r="AH40" s="35"/>
    </row>
    <row r="41" spans="2:55" ht="15.5" x14ac:dyDescent="0.35">
      <c r="B41" s="5"/>
      <c r="C41" s="48"/>
      <c r="D41" s="250"/>
      <c r="E41" s="56"/>
      <c r="F41" s="507"/>
      <c r="G41" s="507"/>
      <c r="H41" s="507"/>
      <c r="I41" s="507"/>
      <c r="J41" s="507"/>
      <c r="K41" s="323">
        <f>SUM(K22:K39)</f>
        <v>0</v>
      </c>
      <c r="L41" s="272" t="s">
        <v>17</v>
      </c>
      <c r="M41" s="56"/>
      <c r="N41" s="56"/>
      <c r="O41" s="324">
        <f>SUM(O22:O39)</f>
        <v>0</v>
      </c>
      <c r="P41" s="56"/>
      <c r="Q41" s="324">
        <f>SUM(Q22:Q39)</f>
        <v>0</v>
      </c>
      <c r="R41" s="325"/>
      <c r="S41" s="44" t="s">
        <v>398</v>
      </c>
      <c r="T41" s="7"/>
      <c r="W41" s="35"/>
      <c r="X41" s="35"/>
      <c r="Y41" s="35"/>
      <c r="Z41" s="35"/>
      <c r="AA41" s="35"/>
      <c r="AB41" s="35"/>
      <c r="AC41" s="35"/>
      <c r="AD41" s="35"/>
      <c r="AE41" s="35"/>
      <c r="AF41" s="35"/>
      <c r="AG41" s="35"/>
      <c r="AH41" s="35"/>
    </row>
    <row r="42" spans="2:55" ht="15.5" x14ac:dyDescent="0.35">
      <c r="B42" s="5"/>
      <c r="C42" s="48"/>
      <c r="D42" s="250"/>
      <c r="E42" s="56"/>
      <c r="F42" s="56"/>
      <c r="G42" s="56"/>
      <c r="H42" s="56"/>
      <c r="I42" s="56"/>
      <c r="J42" s="56"/>
      <c r="K42" s="56"/>
      <c r="L42" s="56"/>
      <c r="M42" s="56"/>
      <c r="N42" s="56"/>
      <c r="O42" s="56"/>
      <c r="P42" s="56"/>
      <c r="Q42" s="56"/>
      <c r="R42" s="56"/>
      <c r="S42" s="56"/>
      <c r="T42" s="7"/>
      <c r="V42" s="15"/>
      <c r="W42" s="35"/>
      <c r="X42" s="35"/>
      <c r="Y42" s="35"/>
      <c r="Z42" s="35"/>
      <c r="AA42" s="35"/>
      <c r="AB42" s="35"/>
      <c r="AC42" s="35"/>
      <c r="AD42" s="35"/>
      <c r="AE42" s="35"/>
      <c r="AF42" s="35"/>
      <c r="AG42" s="35"/>
      <c r="AH42" s="35"/>
    </row>
    <row r="43" spans="2:55" ht="8.15" customHeight="1" x14ac:dyDescent="0.35">
      <c r="B43" s="5"/>
      <c r="C43" s="48"/>
      <c r="D43" s="250"/>
      <c r="E43" s="298"/>
      <c r="F43" s="298"/>
      <c r="G43" s="298"/>
      <c r="H43" s="298"/>
      <c r="I43" s="298"/>
      <c r="J43" s="298"/>
      <c r="K43" s="298"/>
      <c r="L43" s="298"/>
      <c r="M43" s="298"/>
      <c r="N43" s="298"/>
      <c r="O43" s="298"/>
      <c r="P43" s="298"/>
      <c r="Q43" s="298"/>
      <c r="R43" s="298"/>
      <c r="S43" s="298"/>
      <c r="T43" s="7"/>
      <c r="W43" s="35"/>
      <c r="X43" s="35"/>
      <c r="Y43" s="35"/>
      <c r="Z43" s="35"/>
      <c r="AA43" s="35"/>
      <c r="AB43" s="35"/>
      <c r="AC43" s="35"/>
      <c r="AD43" s="35"/>
      <c r="AE43" s="35"/>
      <c r="AF43" s="35"/>
      <c r="AG43" s="35"/>
      <c r="AH43" s="35"/>
    </row>
    <row r="44" spans="2:55" ht="23.5" customHeight="1" x14ac:dyDescent="0.35">
      <c r="B44" s="5"/>
      <c r="C44" s="48"/>
      <c r="D44" s="250"/>
      <c r="E44" s="54" t="s">
        <v>12</v>
      </c>
      <c r="F44" s="56" t="s">
        <v>410</v>
      </c>
      <c r="G44" s="56"/>
      <c r="H44" s="56"/>
      <c r="I44" s="56"/>
      <c r="J44" s="56"/>
      <c r="K44" s="261"/>
      <c r="L44" s="261"/>
      <c r="M44" s="261"/>
      <c r="N44" s="261"/>
      <c r="O44" s="261"/>
      <c r="P44" s="261"/>
      <c r="Q44" s="261"/>
      <c r="R44" s="261"/>
      <c r="S44" s="261"/>
      <c r="T44" s="7"/>
      <c r="W44" s="35"/>
      <c r="X44" s="35"/>
      <c r="Y44" s="35"/>
      <c r="Z44" s="35"/>
      <c r="AA44" s="35"/>
      <c r="AB44" s="35"/>
      <c r="AC44" s="35"/>
      <c r="AD44" s="35"/>
      <c r="AE44" s="35"/>
      <c r="AF44" s="35"/>
      <c r="AG44" s="35"/>
      <c r="AH44" s="35"/>
    </row>
    <row r="45" spans="2:55" ht="11.5" customHeight="1" x14ac:dyDescent="0.35">
      <c r="B45" s="5"/>
      <c r="C45" s="48"/>
      <c r="D45" s="250"/>
      <c r="E45" s="54"/>
      <c r="F45" s="56"/>
      <c r="G45" s="56"/>
      <c r="H45" s="56"/>
      <c r="I45" s="56"/>
      <c r="J45" s="56"/>
      <c r="K45" s="161" t="s">
        <v>2</v>
      </c>
      <c r="L45" s="161" t="s">
        <v>3</v>
      </c>
      <c r="M45" s="261"/>
      <c r="N45" s="261"/>
      <c r="O45" s="261"/>
      <c r="P45" s="261"/>
      <c r="Q45" s="261"/>
      <c r="R45" s="261"/>
      <c r="S45" s="261"/>
      <c r="T45" s="7"/>
      <c r="W45" s="35"/>
      <c r="X45" s="35"/>
      <c r="Y45" s="35"/>
      <c r="Z45" s="35"/>
      <c r="AA45" s="35"/>
      <c r="AB45" s="35"/>
      <c r="AC45" s="35"/>
      <c r="AD45" s="35"/>
      <c r="AE45" s="35"/>
      <c r="AF45" s="35"/>
      <c r="AG45" s="35"/>
      <c r="AH45" s="35"/>
    </row>
    <row r="46" spans="2:55" ht="15" customHeight="1" x14ac:dyDescent="0.35">
      <c r="B46" s="5"/>
      <c r="C46" s="48"/>
      <c r="D46" s="250"/>
      <c r="E46" s="56"/>
      <c r="F46" s="495" t="s">
        <v>26</v>
      </c>
      <c r="G46" s="495"/>
      <c r="H46" s="495"/>
      <c r="I46" s="495"/>
      <c r="J46" s="495"/>
      <c r="K46" s="326">
        <f>O41</f>
        <v>0</v>
      </c>
      <c r="L46" s="272" t="s">
        <v>398</v>
      </c>
      <c r="M46" s="250"/>
      <c r="N46" s="250"/>
      <c r="O46" s="250"/>
      <c r="P46" s="250"/>
      <c r="Q46" s="250"/>
      <c r="R46" s="250"/>
      <c r="S46" s="250"/>
      <c r="T46" s="7"/>
    </row>
    <row r="47" spans="2:55" ht="6" customHeight="1" x14ac:dyDescent="0.35">
      <c r="B47" s="5"/>
      <c r="C47" s="48"/>
      <c r="D47" s="250"/>
      <c r="E47" s="56"/>
      <c r="F47" s="495"/>
      <c r="G47" s="495"/>
      <c r="H47" s="495"/>
      <c r="I47" s="495"/>
      <c r="J47" s="495"/>
      <c r="K47" s="253"/>
      <c r="L47" s="327"/>
      <c r="M47" s="250"/>
      <c r="N47" s="250"/>
      <c r="O47" s="250"/>
      <c r="P47" s="250"/>
      <c r="Q47" s="250"/>
      <c r="R47" s="250"/>
      <c r="S47" s="250"/>
      <c r="T47" s="7"/>
    </row>
    <row r="48" spans="2:55" ht="15.5" customHeight="1" x14ac:dyDescent="0.35">
      <c r="B48" s="5"/>
      <c r="C48" s="48"/>
      <c r="D48" s="250"/>
      <c r="E48" s="56"/>
      <c r="F48" s="495" t="s">
        <v>406</v>
      </c>
      <c r="G48" s="495"/>
      <c r="H48" s="495"/>
      <c r="I48" s="495"/>
      <c r="J48" s="495"/>
      <c r="K48" s="326">
        <f>Q41</f>
        <v>0</v>
      </c>
      <c r="L48" s="272" t="s">
        <v>398</v>
      </c>
      <c r="M48" s="250"/>
      <c r="N48" s="250"/>
      <c r="O48" s="250"/>
      <c r="P48" s="250"/>
      <c r="Q48" s="250"/>
      <c r="R48" s="250"/>
      <c r="S48" s="250"/>
      <c r="T48" s="7"/>
    </row>
    <row r="49" spans="2:20" ht="7.5" customHeight="1" x14ac:dyDescent="0.3">
      <c r="B49" s="5"/>
      <c r="C49" s="48"/>
      <c r="D49" s="48"/>
      <c r="E49" s="45"/>
      <c r="F49" s="83"/>
      <c r="G49" s="83"/>
      <c r="H49" s="83"/>
      <c r="I49" s="83"/>
      <c r="J49" s="83"/>
      <c r="K49" s="48"/>
      <c r="L49" s="48"/>
      <c r="M49" s="48"/>
      <c r="N49" s="48"/>
      <c r="O49" s="48"/>
      <c r="P49" s="48"/>
      <c r="Q49" s="48"/>
      <c r="R49" s="48"/>
      <c r="S49" s="48"/>
      <c r="T49" s="7"/>
    </row>
    <row r="50" spans="2:20" ht="3" customHeight="1" thickBot="1" x14ac:dyDescent="0.35">
      <c r="B50" s="8"/>
      <c r="C50" s="58"/>
      <c r="D50" s="58"/>
      <c r="E50" s="63"/>
      <c r="F50" s="124"/>
      <c r="G50" s="124"/>
      <c r="H50" s="124"/>
      <c r="I50" s="124"/>
      <c r="J50" s="124"/>
      <c r="K50" s="58"/>
      <c r="L50" s="58"/>
      <c r="M50" s="58"/>
      <c r="N50" s="58"/>
      <c r="O50" s="58"/>
      <c r="P50" s="58"/>
      <c r="Q50" s="58"/>
      <c r="R50" s="58"/>
      <c r="S50" s="58"/>
      <c r="T50" s="10"/>
    </row>
  </sheetData>
  <sheetProtection algorithmName="SHA-512" hashValue="WMBPRIqmzSKgAXHEtYl1BhULTU21eDbpgHxqUq6SlXmDGdFbM7L3FkDE1rJzFxVQ7t4cWGJf7fo8KuHblA/qPg==" saltValue="0FcF4J040sTm+3VveZz6cQ==" spinCount="100000" sheet="1" objects="1" scenarios="1" selectLockedCells="1"/>
  <mergeCells count="38">
    <mergeCell ref="AC22:AH22"/>
    <mergeCell ref="AC23:AD23"/>
    <mergeCell ref="AE23:AF23"/>
    <mergeCell ref="AG23:AH23"/>
    <mergeCell ref="F3:M3"/>
    <mergeCell ref="F22:J22"/>
    <mergeCell ref="F23:J23"/>
    <mergeCell ref="E4:S6"/>
    <mergeCell ref="D10:S10"/>
    <mergeCell ref="F24:J24"/>
    <mergeCell ref="F13:J13"/>
    <mergeCell ref="F8:J8"/>
    <mergeCell ref="F12:J12"/>
    <mergeCell ref="F14:J14"/>
    <mergeCell ref="F15:J15"/>
    <mergeCell ref="E18:S18"/>
    <mergeCell ref="E20:S20"/>
    <mergeCell ref="E17:S17"/>
    <mergeCell ref="E19:S19"/>
    <mergeCell ref="F25:J25"/>
    <mergeCell ref="F38:J38"/>
    <mergeCell ref="F27:J27"/>
    <mergeCell ref="F29:J29"/>
    <mergeCell ref="F30:J30"/>
    <mergeCell ref="F31:J31"/>
    <mergeCell ref="F26:J26"/>
    <mergeCell ref="F33:J33"/>
    <mergeCell ref="F34:J34"/>
    <mergeCell ref="F36:J36"/>
    <mergeCell ref="F32:J32"/>
    <mergeCell ref="F35:J35"/>
    <mergeCell ref="F37:J37"/>
    <mergeCell ref="F48:J48"/>
    <mergeCell ref="F28:J28"/>
    <mergeCell ref="F46:J46"/>
    <mergeCell ref="F47:J47"/>
    <mergeCell ref="F40:J41"/>
    <mergeCell ref="F39:J39"/>
  </mergeCells>
  <dataValidations count="4">
    <dataValidation type="list" allowBlank="1" showInputMessage="1" showErrorMessage="1" sqref="K14" xr:uid="{D1AD0D84-DAE2-48CF-8459-2AFE976C8347}">
      <formula1>"550-575,575-600,600-625,625-650,650-675,675-700,700-750,750-800,800-850,850-900"</formula1>
    </dataValidation>
    <dataValidation type="list" allowBlank="1" showInputMessage="1" showErrorMessage="1" sqref="K15" xr:uid="{FE8B5C82-C02A-47B7-8EE2-9179853B1E3E}">
      <formula1>"Yes,No"</formula1>
    </dataValidation>
    <dataValidation type="list" allowBlank="1" showInputMessage="1" showErrorMessage="1" sqref="K13" xr:uid="{95DBBD21-A5BD-40D8-A813-6FA56B6CAA4D}">
      <formula1>"Freely draining, Impermeable - drained for arable, Impermeable - drained for arable and grassland"</formula1>
    </dataValidation>
    <dataValidation type="list" allowBlank="1" showInputMessage="1" showErrorMessage="1" sqref="K12" xr:uid="{9CA65DA3-8EC1-4DE8-A2A5-6475F79E0D5C}">
      <formula1>"Wensum, Yare, Bure"</formula1>
    </dataValidation>
  </dataValidations>
  <hyperlinks>
    <hyperlink ref="E18:M18" location="Help!C98" display="Note: Identify the soil drainage type from the Viewer, and use the criteria table in the Help tab to identify if the soil is either permeable or impermeable" xr:uid="{CF9C6CF2-1BEE-4CA2-BC81-A07A7035BCBA}"/>
    <hyperlink ref="E18:S18" location="Introduction!C180" display="Note: Use the criteria table in the introduction tab to identify if the soil type" xr:uid="{B85ACFA4-B4A4-46C9-B8B2-91237C755DB7}"/>
    <hyperlink ref="E17:S17" location="Introduction!C198" display="Note: Use the Link in the introduction tab to find the appropriate catchment" xr:uid="{AB23DA06-350A-44AA-9C3A-C6CA710476A1}"/>
    <hyperlink ref="E20:S20" location="Introduction!C204" display="Note: Use the Link in the Help tab to Find out whether the development is in a Nitrate Vulnerable Zone (NVZ)" xr:uid="{E2562DBB-4BDA-48B9-91F1-9CC89B9AAFB1}"/>
    <hyperlink ref="E19:S19" location="Rainfall!A1" display="Note: Rainfall can be identified using the map on the Rainfall tab" xr:uid="{E9116748-D9A9-4E5F-8D57-49EBF86E01B5}"/>
  </hyperlinks>
  <pageMargins left="0.70866141732283472" right="0.70866141732283472" top="0.74803149606299213" bottom="0.74803149606299213" header="0.31496062992125984" footer="0.31496062992125984"/>
  <pageSetup paperSize="9" scale="72" orientation="portrait" r:id="rId1"/>
  <headerFooter>
    <oddHeader>&amp;LPhosphate Budget Calculator&amp;CStage 2</oddHeader>
    <oddFooter>&amp;LVersion 2.2&amp;R&amp;D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rgb="FFD6F4FE"/>
    <pageSetUpPr fitToPage="1"/>
  </sheetPr>
  <dimension ref="A1:Z40"/>
  <sheetViews>
    <sheetView zoomScale="115" zoomScaleNormal="115" workbookViewId="0">
      <selection activeCell="K10" sqref="K10"/>
    </sheetView>
  </sheetViews>
  <sheetFormatPr defaultRowHeight="12.5" x14ac:dyDescent="0.25"/>
  <cols>
    <col min="2" max="3" width="0.81640625" customWidth="1"/>
    <col min="4" max="4" width="2.26953125" customWidth="1"/>
    <col min="5" max="5" width="8.26953125" customWidth="1"/>
    <col min="9" max="9" width="12.26953125" customWidth="1"/>
    <col min="10" max="10" width="12.1796875" customWidth="1"/>
    <col min="11" max="11" width="9.90625" customWidth="1"/>
    <col min="12" max="12" width="12.6328125" customWidth="1"/>
    <col min="13" max="13" width="5.453125" customWidth="1"/>
    <col min="14" max="14" width="0.81640625" customWidth="1"/>
  </cols>
  <sheetData>
    <row r="1" spans="1:26" ht="13.5" thickBot="1" x14ac:dyDescent="0.35">
      <c r="A1" s="46" t="s">
        <v>29</v>
      </c>
    </row>
    <row r="2" spans="1:26" ht="3.65" customHeight="1" x14ac:dyDescent="0.25">
      <c r="B2" s="2"/>
      <c r="C2" s="3"/>
      <c r="D2" s="3"/>
      <c r="E2" s="3"/>
      <c r="F2" s="3"/>
      <c r="G2" s="3"/>
      <c r="H2" s="3"/>
      <c r="I2" s="3"/>
      <c r="J2" s="3"/>
      <c r="K2" s="3"/>
      <c r="L2" s="3"/>
      <c r="M2" s="3"/>
      <c r="N2" s="4"/>
    </row>
    <row r="3" spans="1:26" ht="28.5" customHeight="1" x14ac:dyDescent="0.35">
      <c r="B3" s="52"/>
      <c r="C3" s="328"/>
      <c r="D3" s="230"/>
      <c r="E3" s="218" t="s">
        <v>29</v>
      </c>
      <c r="F3" s="502" t="s">
        <v>504</v>
      </c>
      <c r="G3" s="502"/>
      <c r="H3" s="502"/>
      <c r="I3" s="502"/>
      <c r="J3" s="502"/>
      <c r="K3" s="502"/>
      <c r="L3" s="502"/>
      <c r="M3" s="502"/>
      <c r="N3" s="7"/>
    </row>
    <row r="4" spans="1:26" ht="12.65" customHeight="1" x14ac:dyDescent="0.35">
      <c r="B4" s="52"/>
      <c r="C4" s="311"/>
      <c r="D4" s="162"/>
      <c r="E4" s="497" t="s">
        <v>249</v>
      </c>
      <c r="F4" s="497"/>
      <c r="G4" s="497"/>
      <c r="H4" s="497"/>
      <c r="I4" s="497"/>
      <c r="J4" s="497"/>
      <c r="K4" s="497"/>
      <c r="L4" s="497"/>
      <c r="M4" s="497"/>
      <c r="N4" s="7"/>
    </row>
    <row r="5" spans="1:26" ht="15.5" x14ac:dyDescent="0.35">
      <c r="B5" s="52"/>
      <c r="C5" s="311"/>
      <c r="D5" s="162"/>
      <c r="E5" s="497"/>
      <c r="F5" s="497"/>
      <c r="G5" s="497"/>
      <c r="H5" s="497"/>
      <c r="I5" s="497"/>
      <c r="J5" s="497"/>
      <c r="K5" s="497"/>
      <c r="L5" s="497"/>
      <c r="M5" s="497"/>
      <c r="N5" s="7"/>
    </row>
    <row r="6" spans="1:26" ht="50" customHeight="1" x14ac:dyDescent="0.35">
      <c r="B6" s="52"/>
      <c r="C6" s="250"/>
      <c r="D6" s="56"/>
      <c r="E6" s="497"/>
      <c r="F6" s="497"/>
      <c r="G6" s="497"/>
      <c r="H6" s="497"/>
      <c r="I6" s="497"/>
      <c r="J6" s="497"/>
      <c r="K6" s="497"/>
      <c r="L6" s="497"/>
      <c r="M6" s="497"/>
      <c r="N6" s="7"/>
    </row>
    <row r="7" spans="1:26" ht="7" customHeight="1" x14ac:dyDescent="0.35">
      <c r="B7" s="52"/>
      <c r="C7" s="250"/>
      <c r="D7" s="286"/>
      <c r="E7" s="286"/>
      <c r="F7" s="286"/>
      <c r="G7" s="286"/>
      <c r="H7" s="286"/>
      <c r="I7" s="286"/>
      <c r="J7" s="286"/>
      <c r="K7" s="286"/>
      <c r="L7" s="286"/>
      <c r="M7" s="286"/>
      <c r="N7" s="7"/>
    </row>
    <row r="8" spans="1:26" ht="15.5" x14ac:dyDescent="0.35">
      <c r="B8" s="52"/>
      <c r="C8" s="250"/>
      <c r="D8" s="56"/>
      <c r="E8" s="54" t="s">
        <v>8</v>
      </c>
      <c r="F8" s="447" t="s">
        <v>25</v>
      </c>
      <c r="G8" s="447"/>
      <c r="H8" s="447"/>
      <c r="I8" s="447"/>
      <c r="J8" s="447"/>
      <c r="K8" s="161" t="s">
        <v>2</v>
      </c>
      <c r="L8" s="161" t="s">
        <v>3</v>
      </c>
      <c r="M8" s="56"/>
      <c r="N8" s="7"/>
    </row>
    <row r="9" spans="1:26" ht="12.65" customHeight="1" x14ac:dyDescent="0.35">
      <c r="B9" s="52"/>
      <c r="C9" s="250"/>
      <c r="D9" s="56"/>
      <c r="E9" s="54"/>
      <c r="F9" s="56"/>
      <c r="G9" s="56"/>
      <c r="H9" s="56"/>
      <c r="I9" s="56"/>
      <c r="J9" s="56"/>
      <c r="K9" s="161"/>
      <c r="L9" s="161"/>
      <c r="M9" s="56"/>
      <c r="N9" s="7"/>
    </row>
    <row r="10" spans="1:26" ht="14.15" customHeight="1" x14ac:dyDescent="0.35">
      <c r="B10" s="52"/>
      <c r="C10" s="250"/>
      <c r="D10" s="56"/>
      <c r="E10" s="54"/>
      <c r="F10" s="56" t="s">
        <v>402</v>
      </c>
      <c r="G10" s="56"/>
      <c r="H10" s="56"/>
      <c r="I10" s="56"/>
      <c r="J10" s="56"/>
      <c r="K10" s="314"/>
      <c r="L10" s="265" t="s">
        <v>17</v>
      </c>
      <c r="M10" s="56"/>
      <c r="N10" s="7"/>
    </row>
    <row r="11" spans="1:26" ht="13" customHeight="1" x14ac:dyDescent="0.35">
      <c r="B11" s="52"/>
      <c r="C11" s="250"/>
      <c r="D11" s="56"/>
      <c r="E11" s="54"/>
      <c r="F11" s="56" t="s">
        <v>403</v>
      </c>
      <c r="G11" s="56"/>
      <c r="H11" s="56"/>
      <c r="I11" s="56"/>
      <c r="J11" s="56"/>
      <c r="K11" s="314"/>
      <c r="L11" s="265" t="s">
        <v>17</v>
      </c>
      <c r="M11" s="56"/>
      <c r="N11" s="7"/>
    </row>
    <row r="12" spans="1:26" ht="15.65" customHeight="1" x14ac:dyDescent="0.35">
      <c r="B12" s="52"/>
      <c r="C12" s="250"/>
      <c r="D12" s="56"/>
      <c r="E12" s="54"/>
      <c r="F12" s="56" t="s">
        <v>404</v>
      </c>
      <c r="G12" s="56"/>
      <c r="H12" s="56"/>
      <c r="I12" s="56"/>
      <c r="J12" s="56"/>
      <c r="K12" s="314"/>
      <c r="L12" s="265" t="s">
        <v>17</v>
      </c>
      <c r="M12" s="56"/>
      <c r="N12" s="7"/>
    </row>
    <row r="13" spans="1:26" ht="15" customHeight="1" x14ac:dyDescent="0.35">
      <c r="B13" s="52"/>
      <c r="C13" s="250"/>
      <c r="D13" s="56"/>
      <c r="E13" s="56"/>
      <c r="F13" s="496" t="s">
        <v>475</v>
      </c>
      <c r="G13" s="496"/>
      <c r="H13" s="496"/>
      <c r="I13" s="496"/>
      <c r="J13" s="496"/>
      <c r="K13" s="314"/>
      <c r="L13" s="265" t="s">
        <v>17</v>
      </c>
      <c r="M13" s="56"/>
      <c r="N13" s="7"/>
    </row>
    <row r="14" spans="1:26" ht="15" customHeight="1" x14ac:dyDescent="0.35">
      <c r="B14" s="52"/>
      <c r="C14" s="250"/>
      <c r="D14" s="56"/>
      <c r="E14" s="56"/>
      <c r="F14" s="496" t="s">
        <v>514</v>
      </c>
      <c r="G14" s="496"/>
      <c r="H14" s="496"/>
      <c r="I14" s="496"/>
      <c r="J14" s="496"/>
      <c r="K14" s="314"/>
      <c r="L14" s="265" t="s">
        <v>17</v>
      </c>
      <c r="M14" s="56"/>
      <c r="N14" s="7"/>
      <c r="P14" s="15"/>
      <c r="Q14" s="15"/>
      <c r="Z14" s="15"/>
    </row>
    <row r="15" spans="1:26" ht="15" customHeight="1" x14ac:dyDescent="0.35">
      <c r="B15" s="52"/>
      <c r="C15" s="250"/>
      <c r="D15" s="56"/>
      <c r="E15" s="56"/>
      <c r="F15" s="496" t="s">
        <v>21</v>
      </c>
      <c r="G15" s="496"/>
      <c r="H15" s="496"/>
      <c r="I15" s="496"/>
      <c r="J15" s="496"/>
      <c r="K15" s="314"/>
      <c r="L15" s="265" t="s">
        <v>17</v>
      </c>
      <c r="M15" s="56"/>
      <c r="N15" s="7"/>
      <c r="P15" s="15"/>
      <c r="Q15" s="15"/>
    </row>
    <row r="16" spans="1:26" ht="15" customHeight="1" x14ac:dyDescent="0.35">
      <c r="B16" s="52"/>
      <c r="C16" s="250"/>
      <c r="D16" s="56"/>
      <c r="E16" s="56"/>
      <c r="F16" s="447" t="s">
        <v>154</v>
      </c>
      <c r="G16" s="447"/>
      <c r="H16" s="447"/>
      <c r="I16" s="447"/>
      <c r="J16" s="447"/>
      <c r="K16" s="314"/>
      <c r="L16" s="265" t="s">
        <v>17</v>
      </c>
      <c r="M16" s="56"/>
      <c r="N16" s="7"/>
      <c r="P16" s="15"/>
      <c r="Q16" s="15"/>
    </row>
    <row r="17" spans="2:17" ht="15" customHeight="1" x14ac:dyDescent="0.35">
      <c r="B17" s="52"/>
      <c r="C17" s="250"/>
      <c r="D17" s="56"/>
      <c r="E17" s="56"/>
      <c r="F17" s="447" t="s">
        <v>513</v>
      </c>
      <c r="G17" s="447"/>
      <c r="H17" s="447"/>
      <c r="I17" s="447"/>
      <c r="J17" s="447"/>
      <c r="K17" s="314"/>
      <c r="L17" s="265" t="s">
        <v>17</v>
      </c>
      <c r="M17" s="56"/>
      <c r="N17" s="7"/>
      <c r="P17" s="15"/>
      <c r="Q17" s="15"/>
    </row>
    <row r="18" spans="2:17" ht="15" customHeight="1" x14ac:dyDescent="0.35">
      <c r="B18" s="52"/>
      <c r="C18" s="250"/>
      <c r="D18" s="56"/>
      <c r="E18" s="56"/>
      <c r="F18" s="447" t="s">
        <v>235</v>
      </c>
      <c r="G18" s="447"/>
      <c r="H18" s="447"/>
      <c r="I18" s="447"/>
      <c r="J18" s="447"/>
      <c r="K18" s="314"/>
      <c r="L18" s="265" t="s">
        <v>17</v>
      </c>
      <c r="M18" s="56"/>
      <c r="N18" s="7"/>
      <c r="P18" s="15"/>
      <c r="Q18" s="15"/>
    </row>
    <row r="19" spans="2:17" ht="15" customHeight="1" x14ac:dyDescent="0.35">
      <c r="B19" s="52"/>
      <c r="C19" s="250"/>
      <c r="D19" s="56"/>
      <c r="E19" s="56"/>
      <c r="F19" s="496" t="s">
        <v>400</v>
      </c>
      <c r="G19" s="496"/>
      <c r="H19" s="496"/>
      <c r="I19" s="496"/>
      <c r="J19" s="496"/>
      <c r="K19" s="314"/>
      <c r="L19" s="265" t="s">
        <v>17</v>
      </c>
      <c r="M19" s="56"/>
      <c r="N19" s="7"/>
    </row>
    <row r="20" spans="2:17" ht="7" customHeight="1" x14ac:dyDescent="0.35">
      <c r="B20" s="52"/>
      <c r="C20" s="250"/>
      <c r="D20" s="56"/>
      <c r="E20" s="56"/>
      <c r="F20" s="56"/>
      <c r="G20" s="56"/>
      <c r="H20" s="56"/>
      <c r="I20" s="56"/>
      <c r="J20" s="56"/>
      <c r="K20" s="56"/>
      <c r="L20" s="56"/>
      <c r="M20" s="56"/>
      <c r="N20" s="7"/>
    </row>
    <row r="21" spans="2:17" ht="5.5" customHeight="1" x14ac:dyDescent="0.35">
      <c r="B21" s="52"/>
      <c r="C21" s="250"/>
      <c r="D21" s="274"/>
      <c r="E21" s="274"/>
      <c r="F21" s="274"/>
      <c r="G21" s="274"/>
      <c r="H21" s="274"/>
      <c r="I21" s="274"/>
      <c r="J21" s="274"/>
      <c r="K21" s="274"/>
      <c r="L21" s="274"/>
      <c r="M21" s="274"/>
      <c r="N21" s="7"/>
    </row>
    <row r="22" spans="2:17" ht="4" customHeight="1" x14ac:dyDescent="0.35">
      <c r="B22" s="52"/>
      <c r="C22" s="250"/>
      <c r="D22" s="56"/>
      <c r="E22" s="56"/>
      <c r="F22" s="56"/>
      <c r="G22" s="56"/>
      <c r="H22" s="56"/>
      <c r="I22" s="56"/>
      <c r="J22" s="56"/>
      <c r="K22" s="56"/>
      <c r="L22" s="56"/>
      <c r="M22" s="56"/>
      <c r="N22" s="7"/>
    </row>
    <row r="23" spans="2:17" ht="14.15" customHeight="1" x14ac:dyDescent="0.35">
      <c r="B23" s="52"/>
      <c r="C23" s="250"/>
      <c r="D23" s="56"/>
      <c r="E23" s="54" t="s">
        <v>12</v>
      </c>
      <c r="F23" s="447" t="s">
        <v>237</v>
      </c>
      <c r="G23" s="447"/>
      <c r="H23" s="447"/>
      <c r="I23" s="447"/>
      <c r="J23" s="447"/>
      <c r="K23" s="56"/>
      <c r="L23" s="56"/>
      <c r="M23" s="56"/>
      <c r="N23" s="7"/>
    </row>
    <row r="24" spans="2:17" ht="4" customHeight="1" x14ac:dyDescent="0.35">
      <c r="B24" s="52"/>
      <c r="C24" s="250"/>
      <c r="D24" s="56"/>
      <c r="E24" s="54"/>
      <c r="F24" s="56"/>
      <c r="G24" s="56"/>
      <c r="H24" s="56"/>
      <c r="I24" s="56"/>
      <c r="J24" s="56"/>
      <c r="K24" s="56"/>
      <c r="L24" s="56"/>
      <c r="M24" s="56"/>
      <c r="N24" s="7"/>
    </row>
    <row r="25" spans="2:17" ht="11.15" customHeight="1" x14ac:dyDescent="0.35">
      <c r="B25" s="52"/>
      <c r="C25" s="250"/>
      <c r="D25" s="56"/>
      <c r="E25" s="56"/>
      <c r="F25" s="447" t="s">
        <v>238</v>
      </c>
      <c r="G25" s="447"/>
      <c r="H25" s="447"/>
      <c r="I25" s="447"/>
      <c r="J25" s="447"/>
      <c r="K25" s="263"/>
      <c r="L25" s="265" t="s">
        <v>17</v>
      </c>
      <c r="M25" s="56"/>
      <c r="N25" s="7"/>
    </row>
    <row r="26" spans="2:17" ht="13.5" customHeight="1" x14ac:dyDescent="0.35">
      <c r="B26" s="52"/>
      <c r="C26" s="250"/>
      <c r="D26" s="56"/>
      <c r="E26" s="56"/>
      <c r="F26" s="447" t="s">
        <v>407</v>
      </c>
      <c r="G26" s="447"/>
      <c r="H26" s="447"/>
      <c r="I26" s="447"/>
      <c r="J26" s="447"/>
      <c r="K26" s="263"/>
      <c r="L26" s="265" t="s">
        <v>515</v>
      </c>
      <c r="M26" s="56"/>
      <c r="N26" s="7"/>
    </row>
    <row r="27" spans="2:17" ht="17" customHeight="1" x14ac:dyDescent="0.35">
      <c r="B27" s="52"/>
      <c r="C27" s="250"/>
      <c r="D27" s="56"/>
      <c r="E27" s="56"/>
      <c r="F27" s="56" t="s">
        <v>408</v>
      </c>
      <c r="G27" s="56"/>
      <c r="H27" s="56"/>
      <c r="I27" s="56"/>
      <c r="J27" s="56"/>
      <c r="K27" s="263"/>
      <c r="L27" s="265" t="s">
        <v>515</v>
      </c>
      <c r="M27" s="56"/>
      <c r="N27" s="7"/>
    </row>
    <row r="28" spans="2:17" ht="50" customHeight="1" x14ac:dyDescent="0.35">
      <c r="B28" s="52"/>
      <c r="C28" s="250"/>
      <c r="D28" s="56"/>
      <c r="E28" s="497" t="s">
        <v>541</v>
      </c>
      <c r="F28" s="497"/>
      <c r="G28" s="497"/>
      <c r="H28" s="497"/>
      <c r="I28" s="497"/>
      <c r="J28" s="497"/>
      <c r="K28" s="497"/>
      <c r="L28" s="497"/>
      <c r="M28" s="497"/>
      <c r="N28" s="7"/>
    </row>
    <row r="29" spans="2:17" ht="6" customHeight="1" x14ac:dyDescent="0.35">
      <c r="B29" s="52"/>
      <c r="C29" s="250"/>
      <c r="D29" s="56"/>
      <c r="E29" s="261"/>
      <c r="F29" s="261"/>
      <c r="G29" s="261"/>
      <c r="H29" s="261"/>
      <c r="I29" s="261"/>
      <c r="J29" s="261"/>
      <c r="K29" s="261"/>
      <c r="L29" s="261"/>
      <c r="M29" s="261"/>
      <c r="N29" s="7"/>
    </row>
    <row r="30" spans="2:17" ht="13.5" customHeight="1" x14ac:dyDescent="0.35">
      <c r="B30" s="52"/>
      <c r="C30" s="250"/>
      <c r="D30" s="56"/>
      <c r="E30" s="56"/>
      <c r="F30" s="495" t="s">
        <v>20</v>
      </c>
      <c r="G30" s="495"/>
      <c r="H30" s="495"/>
      <c r="I30" s="495"/>
      <c r="J30" s="495"/>
      <c r="K30" s="323">
        <f>SUM(K10:K19)+K25</f>
        <v>0</v>
      </c>
      <c r="L30" s="272" t="s">
        <v>17</v>
      </c>
      <c r="M30" s="56"/>
      <c r="N30" s="7"/>
    </row>
    <row r="31" spans="2:17" ht="57" customHeight="1" x14ac:dyDescent="0.35">
      <c r="B31" s="52"/>
      <c r="C31" s="250"/>
      <c r="D31" s="56"/>
      <c r="E31" s="497" t="s">
        <v>516</v>
      </c>
      <c r="F31" s="497"/>
      <c r="G31" s="497"/>
      <c r="H31" s="497"/>
      <c r="I31" s="497"/>
      <c r="J31" s="497"/>
      <c r="K31" s="497"/>
      <c r="L31" s="497"/>
      <c r="M31" s="497"/>
      <c r="N31" s="7"/>
    </row>
    <row r="32" spans="2:17" ht="5.5" customHeight="1" x14ac:dyDescent="0.35">
      <c r="B32" s="52"/>
      <c r="C32" s="250"/>
      <c r="D32" s="56"/>
      <c r="E32" s="56"/>
      <c r="F32" s="56"/>
      <c r="G32" s="56"/>
      <c r="H32" s="56"/>
      <c r="I32" s="56"/>
      <c r="J32" s="56"/>
      <c r="K32" s="56"/>
      <c r="L32" s="56"/>
      <c r="M32" s="56"/>
      <c r="N32" s="7"/>
    </row>
    <row r="33" spans="2:14" ht="15.5" x14ac:dyDescent="0.35">
      <c r="B33" s="52"/>
      <c r="C33" s="250"/>
      <c r="D33" s="286"/>
      <c r="E33" s="286"/>
      <c r="F33" s="286"/>
      <c r="G33" s="286"/>
      <c r="H33" s="286"/>
      <c r="I33" s="286"/>
      <c r="J33" s="286"/>
      <c r="K33" s="286"/>
      <c r="L33" s="286"/>
      <c r="M33" s="286"/>
      <c r="N33" s="7"/>
    </row>
    <row r="34" spans="2:14" ht="15.5" x14ac:dyDescent="0.35">
      <c r="B34" s="52"/>
      <c r="C34" s="250"/>
      <c r="D34" s="56"/>
      <c r="E34" s="54" t="s">
        <v>14</v>
      </c>
      <c r="F34" s="447" t="s">
        <v>409</v>
      </c>
      <c r="G34" s="447"/>
      <c r="H34" s="447"/>
      <c r="I34" s="447"/>
      <c r="J34" s="447"/>
      <c r="K34" s="161" t="s">
        <v>2</v>
      </c>
      <c r="L34" s="161" t="s">
        <v>3</v>
      </c>
      <c r="M34" s="56"/>
      <c r="N34" s="7"/>
    </row>
    <row r="35" spans="2:14" ht="4.5" customHeight="1" x14ac:dyDescent="0.35">
      <c r="B35" s="52"/>
      <c r="C35" s="250"/>
      <c r="D35" s="56"/>
      <c r="E35" s="54"/>
      <c r="F35" s="447"/>
      <c r="G35" s="447"/>
      <c r="H35" s="447"/>
      <c r="I35" s="447"/>
      <c r="J35" s="447"/>
      <c r="K35" s="161"/>
      <c r="L35" s="161"/>
      <c r="M35" s="56"/>
      <c r="N35" s="7"/>
    </row>
    <row r="36" spans="2:14" ht="15.65" customHeight="1" x14ac:dyDescent="0.35">
      <c r="B36" s="52"/>
      <c r="C36" s="250"/>
      <c r="D36" s="56"/>
      <c r="E36" s="56"/>
      <c r="F36" s="495" t="s">
        <v>26</v>
      </c>
      <c r="G36" s="495"/>
      <c r="H36" s="495"/>
      <c r="I36" s="495"/>
      <c r="J36" s="495"/>
      <c r="K36" s="329">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Tables'!AK48))))))))))+(K15*'Data Tables'!O3)+(K17*'Data Tables'!O4)+(K16*'Data Tables'!O5)+(K18*'Data Tables'!O6)+(K19*'Data Tables'!O7)+(K25*-(IF(K26&gt;0,K26,8)))</f>
        <v>0</v>
      </c>
      <c r="L36" s="272" t="s">
        <v>35</v>
      </c>
      <c r="M36" s="56"/>
      <c r="N36" s="7"/>
    </row>
    <row r="37" spans="2:14" ht="3.65" customHeight="1" x14ac:dyDescent="0.35">
      <c r="B37" s="52"/>
      <c r="C37" s="250"/>
      <c r="D37" s="56"/>
      <c r="E37" s="56"/>
      <c r="F37" s="495"/>
      <c r="G37" s="495"/>
      <c r="H37" s="495"/>
      <c r="I37" s="495"/>
      <c r="J37" s="495"/>
      <c r="K37" s="56"/>
      <c r="L37" s="56"/>
      <c r="M37" s="56"/>
      <c r="N37" s="7"/>
    </row>
    <row r="38" spans="2:14" ht="15" customHeight="1" x14ac:dyDescent="0.35">
      <c r="B38" s="52"/>
      <c r="C38" s="250"/>
      <c r="D38" s="56"/>
      <c r="E38" s="56"/>
      <c r="F38" s="495" t="s">
        <v>406</v>
      </c>
      <c r="G38" s="495"/>
      <c r="H38" s="495"/>
      <c r="I38" s="495"/>
      <c r="J38" s="495"/>
      <c r="K38" s="304">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Tables'!AL48))))))))))+(K15*'Data Tables'!P3)+(K17*'Data Tables'!P4)+(K16*'Data Tables'!P5)+(K18*'Data Tables'!P6)+(K19*'Data Tables'!P7)+(K25*-(IF(K27&gt;0,K27,930)))</f>
        <v>0</v>
      </c>
      <c r="L38" s="272" t="s">
        <v>35</v>
      </c>
      <c r="M38" s="56"/>
      <c r="N38" s="7"/>
    </row>
    <row r="39" spans="2:14" ht="6.65" customHeight="1" x14ac:dyDescent="0.35">
      <c r="B39" s="52"/>
      <c r="C39" s="250"/>
      <c r="D39" s="56"/>
      <c r="E39" s="56"/>
      <c r="F39" s="56"/>
      <c r="G39" s="56"/>
      <c r="H39" s="56"/>
      <c r="I39" s="56"/>
      <c r="J39" s="56"/>
      <c r="K39" s="56"/>
      <c r="L39" s="56"/>
      <c r="M39" s="56"/>
      <c r="N39" s="7"/>
    </row>
    <row r="40" spans="2:14" ht="4.5" customHeight="1" thickBot="1" x14ac:dyDescent="0.4">
      <c r="B40" s="8"/>
      <c r="C40" s="330"/>
      <c r="D40" s="330"/>
      <c r="E40" s="330"/>
      <c r="F40" s="330"/>
      <c r="G40" s="330"/>
      <c r="H40" s="330"/>
      <c r="I40" s="330"/>
      <c r="J40" s="330"/>
      <c r="K40" s="330"/>
      <c r="L40" s="330"/>
      <c r="M40" s="330"/>
      <c r="N40" s="10"/>
    </row>
  </sheetData>
  <sheetProtection algorithmName="SHA-512" hashValue="GBrGmAaobZcVgRz5vdl5TctQtsusxHadHm2Gm7/JoPDC9Xd3u8A+ZiEj4LPsmlL8VEuQy7AukxUCeAqFPf9euw==" saltValue="3uL9uvJjwB2tyqVeRAd+cw==" spinCount="100000" sheet="1" objects="1" scenarios="1" selectLockedCells="1"/>
  <mergeCells count="20">
    <mergeCell ref="F3:M3"/>
    <mergeCell ref="E4:M6"/>
    <mergeCell ref="F13:J13"/>
    <mergeCell ref="F16:J16"/>
    <mergeCell ref="F8:J8"/>
    <mergeCell ref="F14:J14"/>
    <mergeCell ref="F15:J15"/>
    <mergeCell ref="F37:J37"/>
    <mergeCell ref="F38:J38"/>
    <mergeCell ref="F17:J17"/>
    <mergeCell ref="F18:J18"/>
    <mergeCell ref="F19:J19"/>
    <mergeCell ref="F30:J30"/>
    <mergeCell ref="F34:J35"/>
    <mergeCell ref="F36:J36"/>
    <mergeCell ref="F23:J23"/>
    <mergeCell ref="F25:J25"/>
    <mergeCell ref="F26:J26"/>
    <mergeCell ref="E28:M28"/>
    <mergeCell ref="E31:M31"/>
  </mergeCells>
  <pageMargins left="0.70866141732283472" right="0.70866141732283472" top="0.74803149606299213" bottom="0.74803149606299213" header="0.31496062992125984" footer="0.31496062992125984"/>
  <pageSetup paperSize="9" orientation="portrait" r:id="rId1"/>
  <headerFooter>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$K$30&gt;'Stage 2'!$K$41</xm:f>
            <x14:dxf>
              <fill>
                <patternFill>
                  <bgColor rgb="FFFF0000"/>
                </patternFill>
              </fill>
            </x14:dxf>
          </x14:cfRule>
          <x14:cfRule type="expression" priority="2" id="{00000000-000E-0000-0500-000002000000}">
            <xm:f>$K$30='Stage 2'!$K$41</xm:f>
            <x14:dxf>
              <fill>
                <patternFill>
                  <bgColor theme="7" tint="0.79998168889431442"/>
                </patternFill>
              </fill>
            </x14:dxf>
          </x14:cfRule>
          <x14:cfRule type="expression" priority="3" id="{00000000-000E-0000-0500-000003000000}">
            <xm:f>$K$30&lt;'Stage 2'!$K$41</xm:f>
            <x14:dxf>
              <fill>
                <patternFill>
                  <bgColor rgb="FFFF0000"/>
                </patternFill>
              </fill>
            </x14:dxf>
          </x14:cfRule>
          <xm:sqref>K30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rgb="FFD6F4FE"/>
    <pageSetUpPr fitToPage="1"/>
  </sheetPr>
  <dimension ref="A1:AG61"/>
  <sheetViews>
    <sheetView zoomScale="85" zoomScaleNormal="85" workbookViewId="0"/>
  </sheetViews>
  <sheetFormatPr defaultRowHeight="12.5" x14ac:dyDescent="0.25"/>
  <cols>
    <col min="2" max="3" width="0.81640625" customWidth="1"/>
    <col min="4" max="4" width="2.26953125" customWidth="1"/>
    <col min="5" max="5" width="9.54296875" customWidth="1"/>
    <col min="9" max="9" width="12.26953125" customWidth="1"/>
    <col min="10" max="10" width="34.1796875" customWidth="1"/>
    <col min="11" max="11" width="10.81640625" customWidth="1"/>
    <col min="12" max="12" width="1.1796875" customWidth="1"/>
    <col min="13" max="13" width="11.1796875" customWidth="1"/>
    <col min="14" max="14" width="1.36328125" customWidth="1"/>
    <col min="15" max="15" width="11.1796875" customWidth="1"/>
    <col min="16" max="16" width="11.36328125" customWidth="1"/>
    <col min="17" max="17" width="3.7265625" customWidth="1"/>
    <col min="18" max="18" width="27.08984375" customWidth="1"/>
    <col min="19" max="19" width="20.81640625" customWidth="1"/>
    <col min="20" max="20" width="1.81640625" customWidth="1"/>
    <col min="21" max="21" width="0.81640625" customWidth="1"/>
    <col min="22" max="22" width="4.453125" customWidth="1"/>
    <col min="23" max="23" width="10.08984375" hidden="1" customWidth="1"/>
  </cols>
  <sheetData>
    <row r="1" spans="1:33" ht="13.5" thickBot="1" x14ac:dyDescent="0.35">
      <c r="A1" s="46" t="s">
        <v>30</v>
      </c>
    </row>
    <row r="2" spans="1:33" ht="3.65" customHeight="1" x14ac:dyDescent="0.25">
      <c r="B2" s="2"/>
      <c r="C2" s="3"/>
      <c r="D2" s="3"/>
      <c r="E2" s="3"/>
      <c r="F2" s="3"/>
      <c r="G2" s="3"/>
      <c r="H2" s="3"/>
      <c r="I2" s="3"/>
      <c r="J2" s="3"/>
      <c r="K2" s="3"/>
      <c r="L2" s="3"/>
      <c r="M2" s="3"/>
      <c r="N2" s="3"/>
      <c r="O2" s="3"/>
      <c r="P2" s="3"/>
      <c r="Q2" s="3"/>
      <c r="R2" s="3"/>
      <c r="S2" s="3"/>
      <c r="T2" s="3"/>
      <c r="U2" s="4"/>
    </row>
    <row r="3" spans="1:33" ht="28.5" customHeight="1" x14ac:dyDescent="0.35">
      <c r="B3" s="5"/>
      <c r="C3" s="46"/>
      <c r="D3" s="310"/>
      <c r="E3" s="218" t="s">
        <v>30</v>
      </c>
      <c r="F3" s="502" t="s">
        <v>497</v>
      </c>
      <c r="G3" s="502"/>
      <c r="H3" s="502"/>
      <c r="I3" s="502"/>
      <c r="J3" s="502"/>
      <c r="K3" s="502"/>
      <c r="L3" s="502"/>
      <c r="M3" s="502"/>
      <c r="N3" s="502"/>
      <c r="O3" s="502"/>
      <c r="P3" s="502"/>
      <c r="Q3" s="502"/>
      <c r="R3" s="502"/>
      <c r="S3" s="502"/>
      <c r="T3" s="502"/>
      <c r="U3" s="331"/>
      <c r="V3" s="209"/>
      <c r="W3" s="209"/>
      <c r="X3" s="209"/>
      <c r="Y3" s="209"/>
      <c r="Z3" s="209"/>
      <c r="AA3" s="209"/>
      <c r="AB3" s="209"/>
      <c r="AC3" s="209"/>
      <c r="AD3" s="209"/>
      <c r="AE3" s="209"/>
      <c r="AF3" s="209"/>
      <c r="AG3" s="209"/>
    </row>
    <row r="4" spans="1:33" ht="2.15" customHeight="1" x14ac:dyDescent="0.35">
      <c r="B4" s="5"/>
      <c r="C4" s="61"/>
      <c r="D4" s="311"/>
      <c r="E4" s="516" t="s">
        <v>536</v>
      </c>
      <c r="F4" s="516"/>
      <c r="G4" s="516"/>
      <c r="H4" s="516"/>
      <c r="I4" s="516"/>
      <c r="J4" s="516"/>
      <c r="K4" s="516"/>
      <c r="L4" s="516"/>
      <c r="M4" s="516"/>
      <c r="N4" s="516"/>
      <c r="O4" s="516"/>
      <c r="P4" s="516"/>
      <c r="Q4" s="516"/>
      <c r="R4" s="516"/>
      <c r="S4" s="516"/>
      <c r="T4" s="516"/>
      <c r="U4" s="331"/>
      <c r="V4" s="209"/>
      <c r="W4" s="209"/>
      <c r="X4" s="209"/>
      <c r="Y4" s="209"/>
      <c r="Z4" s="209"/>
      <c r="AA4" s="209"/>
      <c r="AB4" s="209"/>
      <c r="AC4" s="209"/>
      <c r="AD4" s="209"/>
      <c r="AE4" s="209"/>
      <c r="AF4" s="209"/>
      <c r="AG4" s="209"/>
    </row>
    <row r="5" spans="1:33" ht="15.5" x14ac:dyDescent="0.35">
      <c r="B5" s="5"/>
      <c r="C5" s="61"/>
      <c r="D5" s="311"/>
      <c r="E5" s="516"/>
      <c r="F5" s="516"/>
      <c r="G5" s="516"/>
      <c r="H5" s="516"/>
      <c r="I5" s="516"/>
      <c r="J5" s="516"/>
      <c r="K5" s="516"/>
      <c r="L5" s="516"/>
      <c r="M5" s="516"/>
      <c r="N5" s="516"/>
      <c r="O5" s="516"/>
      <c r="P5" s="516"/>
      <c r="Q5" s="516"/>
      <c r="R5" s="516"/>
      <c r="S5" s="516"/>
      <c r="T5" s="516"/>
      <c r="U5" s="331"/>
      <c r="V5" s="209"/>
      <c r="W5" s="209"/>
      <c r="X5" s="209"/>
      <c r="Y5" s="209"/>
      <c r="Z5" s="209"/>
      <c r="AA5" s="209"/>
      <c r="AB5" s="209"/>
      <c r="AC5" s="209"/>
      <c r="AD5" s="209"/>
      <c r="AE5" s="209"/>
      <c r="AF5" s="209"/>
      <c r="AG5" s="209"/>
    </row>
    <row r="6" spans="1:33" ht="36.5" customHeight="1" x14ac:dyDescent="0.35">
      <c r="B6" s="5"/>
      <c r="C6" s="48"/>
      <c r="D6" s="250"/>
      <c r="E6" s="516"/>
      <c r="F6" s="516"/>
      <c r="G6" s="516"/>
      <c r="H6" s="516"/>
      <c r="I6" s="516"/>
      <c r="J6" s="516"/>
      <c r="K6" s="516"/>
      <c r="L6" s="516"/>
      <c r="M6" s="516"/>
      <c r="N6" s="516"/>
      <c r="O6" s="516"/>
      <c r="P6" s="516"/>
      <c r="Q6" s="516"/>
      <c r="R6" s="516"/>
      <c r="S6" s="516"/>
      <c r="T6" s="516"/>
      <c r="U6" s="331"/>
      <c r="V6" s="209"/>
      <c r="W6" s="209"/>
      <c r="X6" s="209"/>
      <c r="Y6" s="209"/>
      <c r="Z6" s="209"/>
      <c r="AA6" s="209"/>
      <c r="AB6" s="209"/>
      <c r="AC6" s="209"/>
      <c r="AD6" s="209"/>
      <c r="AE6" s="209"/>
      <c r="AF6" s="209"/>
      <c r="AG6" s="209"/>
    </row>
    <row r="7" spans="1:33" ht="11.15" customHeight="1" x14ac:dyDescent="0.35">
      <c r="B7" s="5"/>
      <c r="C7" s="48"/>
      <c r="D7" s="303"/>
      <c r="E7" s="312"/>
      <c r="F7" s="312"/>
      <c r="G7" s="312"/>
      <c r="H7" s="312"/>
      <c r="I7" s="312"/>
      <c r="J7" s="312"/>
      <c r="K7" s="312"/>
      <c r="L7" s="312"/>
      <c r="M7" s="312"/>
      <c r="N7" s="312"/>
      <c r="O7" s="312"/>
      <c r="P7" s="312"/>
      <c r="Q7" s="312"/>
      <c r="R7" s="312"/>
      <c r="S7" s="312"/>
      <c r="T7" s="312"/>
      <c r="U7" s="331"/>
      <c r="V7" s="209"/>
      <c r="W7" s="209"/>
      <c r="X7" s="209"/>
      <c r="Y7" s="209"/>
      <c r="Z7" s="209"/>
      <c r="AA7" s="209"/>
      <c r="AB7" s="209"/>
      <c r="AC7" s="209"/>
      <c r="AD7" s="209"/>
      <c r="AE7" s="209"/>
      <c r="AF7" s="209"/>
      <c r="AG7" s="209"/>
    </row>
    <row r="8" spans="1:33" ht="11.15" customHeight="1" x14ac:dyDescent="0.35">
      <c r="B8" s="5"/>
      <c r="C8" s="48"/>
      <c r="D8" s="250"/>
      <c r="E8" s="261"/>
      <c r="F8" s="261"/>
      <c r="G8" s="261"/>
      <c r="H8" s="261"/>
      <c r="I8" s="261"/>
      <c r="J8" s="261"/>
      <c r="K8" s="258" t="s">
        <v>550</v>
      </c>
      <c r="L8" s="258"/>
      <c r="M8" s="258" t="str">
        <f>IF(ISNUMBER('Stage 1'!L46),"Post 2025","")</f>
        <v/>
      </c>
      <c r="N8" s="258"/>
      <c r="O8" s="258" t="s">
        <v>549</v>
      </c>
      <c r="P8" s="261"/>
      <c r="Q8" s="261"/>
      <c r="R8" s="513" t="s">
        <v>147</v>
      </c>
      <c r="S8" s="513"/>
      <c r="T8" s="261"/>
      <c r="U8" s="331"/>
      <c r="V8" s="209"/>
      <c r="W8" s="209"/>
      <c r="X8" s="209"/>
      <c r="Y8" s="209"/>
      <c r="Z8" s="209"/>
      <c r="AA8" s="209"/>
      <c r="AB8" s="209"/>
      <c r="AC8" s="209"/>
      <c r="AD8" s="209"/>
      <c r="AE8" s="209"/>
      <c r="AF8" s="209"/>
      <c r="AG8" s="209"/>
    </row>
    <row r="9" spans="1:33" ht="11.15" customHeight="1" x14ac:dyDescent="0.35">
      <c r="B9" s="5"/>
      <c r="C9" s="48"/>
      <c r="D9" s="250"/>
      <c r="E9" s="261"/>
      <c r="F9" s="261"/>
      <c r="G9" s="261"/>
      <c r="H9" s="261"/>
      <c r="I9" s="261"/>
      <c r="J9" s="261"/>
      <c r="K9" s="261"/>
      <c r="L9" s="261"/>
      <c r="M9" s="261"/>
      <c r="N9" s="261"/>
      <c r="O9" s="261"/>
      <c r="P9" s="261"/>
      <c r="Q9" s="261"/>
      <c r="R9" s="332" t="s">
        <v>146</v>
      </c>
      <c r="S9" s="333">
        <f>'Stage 1'!V11+'Stage 1'!V14+'Stage 1'!V17</f>
        <v>0</v>
      </c>
      <c r="T9" s="261"/>
      <c r="U9" s="331"/>
      <c r="V9" s="209"/>
      <c r="W9" s="209"/>
      <c r="X9" s="209"/>
      <c r="Y9" s="209"/>
      <c r="Z9" s="209"/>
      <c r="AA9" s="209"/>
      <c r="AB9" s="209"/>
      <c r="AC9" s="209"/>
      <c r="AD9" s="209"/>
      <c r="AE9" s="209"/>
      <c r="AF9" s="209"/>
      <c r="AG9" s="209"/>
    </row>
    <row r="10" spans="1:33" ht="39.5" customHeight="1" x14ac:dyDescent="0.35">
      <c r="B10" s="5"/>
      <c r="C10" s="62"/>
      <c r="D10" s="250"/>
      <c r="E10" s="54" t="s">
        <v>5</v>
      </c>
      <c r="F10" s="447" t="s">
        <v>411</v>
      </c>
      <c r="G10" s="447"/>
      <c r="H10" s="447"/>
      <c r="I10" s="447"/>
      <c r="J10" s="447"/>
      <c r="K10" s="161" t="s">
        <v>2</v>
      </c>
      <c r="L10" s="161"/>
      <c r="M10" s="161" t="str">
        <f>IF(ISNUMBER('Stage 1'!L46),"Value","")</f>
        <v/>
      </c>
      <c r="N10" s="161"/>
      <c r="O10" s="161" t="s">
        <v>2</v>
      </c>
      <c r="P10" s="161" t="s">
        <v>3</v>
      </c>
      <c r="Q10" s="161"/>
      <c r="R10" s="334" t="str">
        <f>IF('Stage 1'!N34="Yes","WRC location","Onsite treatment plant")</f>
        <v>WRC location</v>
      </c>
      <c r="S10" s="335" t="str">
        <f>IF('Stage 1'!N34="Yes",'Stage 1'!K44,'Stage 1'!AD44)</f>
        <v>Aldborough Water Recycling Centre</v>
      </c>
      <c r="T10" s="56"/>
      <c r="U10" s="331"/>
      <c r="V10" s="209"/>
      <c r="W10" s="209"/>
      <c r="X10" s="209"/>
      <c r="Y10" s="209"/>
      <c r="Z10" s="209"/>
      <c r="AA10" s="209"/>
      <c r="AB10" s="209"/>
      <c r="AC10" s="209"/>
      <c r="AD10" s="209"/>
      <c r="AE10" s="209"/>
      <c r="AF10" s="209"/>
      <c r="AG10" s="209"/>
    </row>
    <row r="11" spans="1:33" ht="12" customHeight="1" x14ac:dyDescent="0.35">
      <c r="B11" s="5"/>
      <c r="C11" s="48"/>
      <c r="D11" s="250"/>
      <c r="E11" s="262"/>
      <c r="F11" s="76"/>
      <c r="G11" s="262"/>
      <c r="H11" s="262"/>
      <c r="I11" s="262"/>
      <c r="J11" s="262"/>
      <c r="K11" s="262"/>
      <c r="L11" s="262"/>
      <c r="M11" s="262"/>
      <c r="N11" s="262"/>
      <c r="O11" s="262"/>
      <c r="P11" s="262"/>
      <c r="Q11" s="262"/>
      <c r="R11" s="332" t="s">
        <v>551</v>
      </c>
      <c r="S11" s="336">
        <f>IF('Stage 1'!N34="Yes",'Stage 1'!K46,IF(ISTEXT('Stage 1'!AD46),'Stage 1'!AE46,'Stage 1'!AD46))</f>
        <v>1.57</v>
      </c>
      <c r="T11" s="56"/>
      <c r="U11" s="331"/>
      <c r="V11" s="209"/>
      <c r="W11" s="209"/>
      <c r="X11" s="209"/>
      <c r="Y11" s="209"/>
      <c r="Z11" s="209"/>
      <c r="AA11" s="209"/>
      <c r="AB11" s="209"/>
      <c r="AC11" s="209"/>
      <c r="AD11" s="209"/>
      <c r="AE11" s="209"/>
      <c r="AF11" s="209"/>
      <c r="AG11" s="209"/>
    </row>
    <row r="12" spans="1:33" ht="15.5" x14ac:dyDescent="0.35">
      <c r="B12" s="5"/>
      <c r="C12" s="48"/>
      <c r="D12" s="250"/>
      <c r="E12" s="56"/>
      <c r="F12" s="495" t="s">
        <v>412</v>
      </c>
      <c r="G12" s="495"/>
      <c r="H12" s="495"/>
      <c r="I12" s="495"/>
      <c r="J12" s="495"/>
      <c r="K12" s="304">
        <f>'Stage 1'!U61</f>
        <v>0</v>
      </c>
      <c r="L12" s="297"/>
      <c r="M12" s="337" t="str">
        <f>IF(ISNUMBER('Stage 1'!L46),IF('Stage 1'!N34="Yes",(('Stage 1'!L46*'Stage 1'!V29)/1000000)*365.25,0),"")</f>
        <v/>
      </c>
      <c r="N12" s="300"/>
      <c r="O12" s="304">
        <f>'Stage 1'!W61</f>
        <v>0</v>
      </c>
      <c r="P12" s="272" t="s">
        <v>35</v>
      </c>
      <c r="Q12" s="272"/>
      <c r="R12" s="332" t="s">
        <v>552</v>
      </c>
      <c r="S12" s="336">
        <f>IF('Stage 1'!N34="Yes",'Stage 1'!K47,IF(ISTEXT('Stage 1'!AD47),'Stage 1'!AE47,'Stage 1'!AD47))</f>
        <v>25</v>
      </c>
      <c r="T12" s="56"/>
      <c r="U12" s="331"/>
      <c r="V12" s="209"/>
      <c r="W12" s="209"/>
      <c r="X12" s="209"/>
      <c r="Y12" s="209"/>
      <c r="Z12" s="209"/>
      <c r="AA12" s="209"/>
      <c r="AB12" s="209"/>
      <c r="AC12" s="209"/>
      <c r="AD12" s="209"/>
      <c r="AE12" s="209"/>
      <c r="AF12" s="209"/>
      <c r="AG12" s="209"/>
    </row>
    <row r="13" spans="1:33" ht="15.5" x14ac:dyDescent="0.35">
      <c r="B13" s="5"/>
      <c r="C13" s="48"/>
      <c r="D13" s="250"/>
      <c r="E13" s="56"/>
      <c r="F13" s="495" t="s">
        <v>413</v>
      </c>
      <c r="G13" s="495"/>
      <c r="H13" s="495"/>
      <c r="I13" s="495"/>
      <c r="J13" s="495"/>
      <c r="K13" s="304">
        <f>'Stage 1'!U63</f>
        <v>0</v>
      </c>
      <c r="L13" s="297"/>
      <c r="M13" s="337"/>
      <c r="N13" s="300"/>
      <c r="O13" s="338">
        <f>'Stage 1'!W63</f>
        <v>0</v>
      </c>
      <c r="P13" s="272" t="s">
        <v>35</v>
      </c>
      <c r="Q13" s="272"/>
      <c r="R13" s="339" t="str">
        <f>IF(ISNUMBER('Stage 1'!L46),"Post 2025 TP discharge concentration","")</f>
        <v/>
      </c>
      <c r="S13" s="340" t="str">
        <f>IF(ISNUMBER('Stage 1'!L46),'Stage 1'!L46,"")</f>
        <v/>
      </c>
      <c r="T13" s="56"/>
      <c r="U13" s="331"/>
      <c r="V13" s="209"/>
      <c r="W13" s="209"/>
      <c r="X13" s="209"/>
      <c r="Y13" s="209"/>
      <c r="Z13" s="209"/>
      <c r="AA13" s="209"/>
      <c r="AB13" s="209"/>
      <c r="AC13" s="209"/>
      <c r="AD13" s="209"/>
      <c r="AE13" s="209"/>
      <c r="AF13" s="209"/>
      <c r="AG13" s="209"/>
    </row>
    <row r="14" spans="1:33" ht="15.5" x14ac:dyDescent="0.35">
      <c r="B14" s="5"/>
      <c r="C14" s="48"/>
      <c r="D14" s="250"/>
      <c r="E14" s="56"/>
      <c r="F14" s="163"/>
      <c r="G14" s="163"/>
      <c r="H14" s="163"/>
      <c r="I14" s="163"/>
      <c r="J14" s="163"/>
      <c r="K14" s="297"/>
      <c r="L14" s="297"/>
      <c r="M14" s="337"/>
      <c r="N14" s="300"/>
      <c r="O14" s="337"/>
      <c r="P14" s="272"/>
      <c r="Q14" s="272"/>
      <c r="R14" s="339" t="s">
        <v>553</v>
      </c>
      <c r="S14" s="341">
        <f>IF('Stage 1'!N34="Yes",'Stage 1'!M46,IF(ISTEXT('Stage 1'!AD46),'Stage 1'!AE46,'Stage 1'!AD46))</f>
        <v>0.22500000000000001</v>
      </c>
      <c r="T14" s="56"/>
      <c r="U14" s="331"/>
      <c r="V14" s="209"/>
      <c r="W14" s="209"/>
      <c r="X14" s="209"/>
      <c r="Y14" s="209"/>
      <c r="Z14" s="209"/>
      <c r="AA14" s="209"/>
      <c r="AB14" s="209"/>
      <c r="AC14" s="209"/>
      <c r="AD14" s="209"/>
      <c r="AE14" s="209"/>
      <c r="AF14" s="209"/>
      <c r="AG14" s="209"/>
    </row>
    <row r="15" spans="1:33" ht="15.5" x14ac:dyDescent="0.35">
      <c r="B15" s="5"/>
      <c r="C15" s="48"/>
      <c r="D15" s="250"/>
      <c r="E15" s="56"/>
      <c r="F15" s="163"/>
      <c r="G15" s="163"/>
      <c r="H15" s="163"/>
      <c r="I15" s="163"/>
      <c r="J15" s="163"/>
      <c r="K15" s="297"/>
      <c r="L15" s="297"/>
      <c r="M15" s="337"/>
      <c r="N15" s="300"/>
      <c r="O15" s="337"/>
      <c r="P15" s="272"/>
      <c r="Q15" s="272"/>
      <c r="R15" s="339" t="s">
        <v>554</v>
      </c>
      <c r="S15" s="341">
        <f>IF('Stage 1'!N34="Yes",'Stage 1'!M47,IF(ISTEXT('Stage 1'!AD47),'Stage 1'!AE47,'Stage 1'!AD47))</f>
        <v>9</v>
      </c>
      <c r="T15" s="56"/>
      <c r="U15" s="331"/>
      <c r="V15" s="209"/>
      <c r="W15" s="209"/>
      <c r="X15" s="209"/>
      <c r="Y15" s="209"/>
      <c r="Z15" s="209"/>
      <c r="AA15" s="209"/>
      <c r="AB15" s="209"/>
      <c r="AC15" s="209"/>
      <c r="AD15" s="209"/>
      <c r="AE15" s="209"/>
      <c r="AF15" s="209"/>
      <c r="AG15" s="209"/>
    </row>
    <row r="16" spans="1:33" ht="8.5" customHeight="1" x14ac:dyDescent="0.35">
      <c r="B16" s="5"/>
      <c r="C16" s="48"/>
      <c r="D16" s="250"/>
      <c r="E16" s="56"/>
      <c r="F16" s="56"/>
      <c r="G16" s="56"/>
      <c r="H16" s="56"/>
      <c r="I16" s="56"/>
      <c r="J16" s="56"/>
      <c r="K16" s="56"/>
      <c r="L16" s="56"/>
      <c r="M16" s="262"/>
      <c r="N16" s="262"/>
      <c r="O16" s="262"/>
      <c r="P16" s="56"/>
      <c r="Q16" s="56"/>
      <c r="R16" s="56"/>
      <c r="S16" s="56"/>
      <c r="T16" s="56"/>
      <c r="U16" s="331"/>
      <c r="V16" s="209"/>
      <c r="W16" s="209"/>
      <c r="X16" s="209"/>
      <c r="Y16" s="209"/>
      <c r="Z16" s="209"/>
      <c r="AA16" s="209"/>
      <c r="AB16" s="209"/>
      <c r="AC16" s="209"/>
      <c r="AD16" s="209"/>
      <c r="AE16" s="209"/>
      <c r="AF16" s="209"/>
      <c r="AG16" s="209"/>
    </row>
    <row r="17" spans="2:33" ht="12" customHeight="1" x14ac:dyDescent="0.35">
      <c r="B17" s="5"/>
      <c r="C17" s="48"/>
      <c r="D17" s="303"/>
      <c r="E17" s="286"/>
      <c r="F17" s="286"/>
      <c r="G17" s="286"/>
      <c r="H17" s="286"/>
      <c r="I17" s="286"/>
      <c r="J17" s="286"/>
      <c r="K17" s="286"/>
      <c r="L17" s="286"/>
      <c r="M17" s="286"/>
      <c r="N17" s="286"/>
      <c r="O17" s="286"/>
      <c r="P17" s="286"/>
      <c r="Q17" s="286"/>
      <c r="R17" s="286"/>
      <c r="S17" s="286"/>
      <c r="T17" s="286"/>
      <c r="U17" s="331"/>
      <c r="V17" s="209"/>
      <c r="W17" s="209"/>
      <c r="X17" s="209"/>
      <c r="Y17" s="209"/>
      <c r="Z17" s="209"/>
      <c r="AA17" s="209"/>
      <c r="AB17" s="209"/>
      <c r="AC17" s="209"/>
      <c r="AD17" s="209"/>
      <c r="AE17" s="209"/>
      <c r="AF17" s="209"/>
      <c r="AG17" s="209"/>
    </row>
    <row r="18" spans="2:33" ht="15.5" x14ac:dyDescent="0.35">
      <c r="B18" s="5"/>
      <c r="C18" s="48"/>
      <c r="D18" s="250"/>
      <c r="E18" s="54" t="s">
        <v>8</v>
      </c>
      <c r="F18" s="447" t="s">
        <v>498</v>
      </c>
      <c r="G18" s="447"/>
      <c r="H18" s="447"/>
      <c r="I18" s="447"/>
      <c r="J18" s="447"/>
      <c r="K18" s="161" t="s">
        <v>2</v>
      </c>
      <c r="L18" s="161"/>
      <c r="M18" s="161" t="str">
        <f>IF(ISNUMBER('Stage 1'!L46),"Value","")</f>
        <v/>
      </c>
      <c r="N18" s="161"/>
      <c r="O18" s="161" t="s">
        <v>2</v>
      </c>
      <c r="P18" s="161" t="s">
        <v>3</v>
      </c>
      <c r="Q18" s="161"/>
      <c r="R18" s="334" t="s">
        <v>148</v>
      </c>
      <c r="S18" s="342">
        <f>'Stage 2'!K46</f>
        <v>0</v>
      </c>
      <c r="T18" s="56"/>
      <c r="U18" s="331"/>
      <c r="V18" s="209"/>
      <c r="W18" s="209"/>
      <c r="X18" s="209"/>
      <c r="Y18" s="209"/>
      <c r="Z18" s="209"/>
      <c r="AA18" s="209"/>
      <c r="AB18" s="209"/>
      <c r="AC18" s="209"/>
      <c r="AD18" s="209"/>
      <c r="AE18" s="209"/>
      <c r="AF18" s="209"/>
      <c r="AG18" s="209"/>
    </row>
    <row r="19" spans="2:33" ht="4" customHeight="1" x14ac:dyDescent="0.35">
      <c r="B19" s="5"/>
      <c r="C19" s="48"/>
      <c r="D19" s="250"/>
      <c r="E19" s="54"/>
      <c r="F19" s="56"/>
      <c r="G19" s="56"/>
      <c r="H19" s="56"/>
      <c r="I19" s="56"/>
      <c r="J19" s="56"/>
      <c r="K19" s="161"/>
      <c r="L19" s="161"/>
      <c r="M19" s="161"/>
      <c r="N19" s="161"/>
      <c r="O19" s="161"/>
      <c r="P19" s="161"/>
      <c r="Q19" s="161"/>
      <c r="R19" s="334"/>
      <c r="S19" s="342"/>
      <c r="T19" s="56"/>
      <c r="U19" s="331"/>
      <c r="V19" s="209"/>
      <c r="W19" s="209"/>
      <c r="X19" s="209"/>
      <c r="Y19" s="209"/>
      <c r="Z19" s="209"/>
      <c r="AA19" s="209"/>
      <c r="AB19" s="209"/>
      <c r="AC19" s="209"/>
      <c r="AD19" s="209"/>
      <c r="AE19" s="209"/>
      <c r="AF19" s="209"/>
      <c r="AG19" s="209"/>
    </row>
    <row r="20" spans="2:33" ht="15.5" x14ac:dyDescent="0.35">
      <c r="B20" s="5"/>
      <c r="C20" s="48"/>
      <c r="D20" s="250"/>
      <c r="E20" s="56"/>
      <c r="F20" s="495" t="s">
        <v>414</v>
      </c>
      <c r="G20" s="495"/>
      <c r="H20" s="495"/>
      <c r="I20" s="495"/>
      <c r="J20" s="495"/>
      <c r="K20" s="304">
        <f>(('Stage 3'!K36)-('Stage 2'!K46))</f>
        <v>0</v>
      </c>
      <c r="L20" s="297"/>
      <c r="M20" s="343" t="str">
        <f>IF(ISNUMBER('Stage 1'!L46),(('Stage 3'!K36)-('Stage 2'!K46)),"")</f>
        <v/>
      </c>
      <c r="N20" s="297"/>
      <c r="O20" s="326">
        <f>(('Stage 3'!K36)-('Stage 2'!K46))</f>
        <v>0</v>
      </c>
      <c r="P20" s="272" t="s">
        <v>35</v>
      </c>
      <c r="Q20" s="272"/>
      <c r="R20" s="334" t="s">
        <v>149</v>
      </c>
      <c r="S20" s="342">
        <f>'Stage 3'!K36</f>
        <v>0</v>
      </c>
      <c r="T20" s="56"/>
      <c r="U20" s="331"/>
      <c r="V20" s="209"/>
      <c r="W20" s="209"/>
      <c r="X20" s="209"/>
      <c r="Y20" s="209"/>
      <c r="Z20" s="209"/>
      <c r="AA20" s="209"/>
      <c r="AB20" s="209"/>
      <c r="AC20" s="209"/>
      <c r="AD20" s="209"/>
      <c r="AE20" s="209"/>
      <c r="AF20" s="209"/>
      <c r="AG20" s="209"/>
    </row>
    <row r="21" spans="2:33" ht="15.5" x14ac:dyDescent="0.35">
      <c r="B21" s="5"/>
      <c r="C21" s="48"/>
      <c r="D21" s="250"/>
      <c r="E21" s="56"/>
      <c r="F21" s="495" t="s">
        <v>415</v>
      </c>
      <c r="G21" s="495"/>
      <c r="H21" s="495"/>
      <c r="I21" s="495"/>
      <c r="J21" s="495"/>
      <c r="K21" s="304">
        <f>(('Stage 3'!K38)-('Stage 2'!K48))</f>
        <v>0</v>
      </c>
      <c r="L21" s="297"/>
      <c r="M21" s="344"/>
      <c r="N21" s="297"/>
      <c r="O21" s="326">
        <f>(('Stage 3'!K38)-('Stage 2'!K48))</f>
        <v>0</v>
      </c>
      <c r="P21" s="272" t="s">
        <v>35</v>
      </c>
      <c r="Q21" s="272"/>
      <c r="R21" s="334" t="s">
        <v>421</v>
      </c>
      <c r="S21" s="342">
        <f>'Stage 2'!K48</f>
        <v>0</v>
      </c>
      <c r="T21" s="56"/>
      <c r="U21" s="331"/>
      <c r="V21" s="209"/>
      <c r="W21" s="209"/>
      <c r="X21" s="209"/>
      <c r="Y21" s="209"/>
      <c r="Z21" s="209"/>
      <c r="AA21" s="209"/>
      <c r="AB21" s="209"/>
      <c r="AC21" s="209"/>
      <c r="AD21" s="209"/>
      <c r="AE21" s="209"/>
      <c r="AF21" s="209"/>
      <c r="AG21" s="209"/>
    </row>
    <row r="22" spans="2:33" ht="15.5" x14ac:dyDescent="0.35">
      <c r="B22" s="5"/>
      <c r="C22" s="48"/>
      <c r="D22" s="250"/>
      <c r="E22" s="56"/>
      <c r="F22" s="163"/>
      <c r="G22" s="163"/>
      <c r="H22" s="163"/>
      <c r="I22" s="163"/>
      <c r="J22" s="163"/>
      <c r="K22" s="297"/>
      <c r="L22" s="297"/>
      <c r="M22" s="344"/>
      <c r="N22" s="297"/>
      <c r="O22" s="344"/>
      <c r="P22" s="272"/>
      <c r="Q22" s="272"/>
      <c r="R22" s="334" t="s">
        <v>420</v>
      </c>
      <c r="S22" s="342">
        <f>'Stage 3'!K38</f>
        <v>0</v>
      </c>
      <c r="T22" s="56"/>
      <c r="U22" s="331"/>
      <c r="V22" s="209"/>
      <c r="W22" s="209"/>
      <c r="X22" s="209"/>
      <c r="Y22" s="209"/>
      <c r="Z22" s="209"/>
      <c r="AA22" s="209"/>
      <c r="AB22" s="209"/>
      <c r="AC22" s="209"/>
      <c r="AD22" s="209"/>
      <c r="AE22" s="209"/>
      <c r="AF22" s="209"/>
      <c r="AG22" s="209"/>
    </row>
    <row r="23" spans="2:33" ht="10.5" customHeight="1" x14ac:dyDescent="0.35">
      <c r="B23" s="5"/>
      <c r="C23" s="48"/>
      <c r="D23" s="250"/>
      <c r="E23" s="56"/>
      <c r="F23" s="56"/>
      <c r="G23" s="56"/>
      <c r="H23" s="56"/>
      <c r="I23" s="56"/>
      <c r="J23" s="56"/>
      <c r="K23" s="56"/>
      <c r="L23" s="56"/>
      <c r="M23" s="56"/>
      <c r="N23" s="56"/>
      <c r="O23" s="56"/>
      <c r="P23" s="56"/>
      <c r="Q23" s="56"/>
      <c r="R23" s="56"/>
      <c r="S23" s="56"/>
      <c r="T23" s="56"/>
      <c r="U23" s="331"/>
      <c r="V23" s="209"/>
      <c r="W23" s="209"/>
      <c r="X23" s="209"/>
      <c r="Y23" s="209"/>
      <c r="Z23" s="209"/>
      <c r="AA23" s="209"/>
      <c r="AB23" s="209"/>
      <c r="AC23" s="209"/>
      <c r="AD23" s="209"/>
      <c r="AE23" s="209"/>
      <c r="AF23" s="209"/>
      <c r="AG23" s="209"/>
    </row>
    <row r="24" spans="2:33" ht="15.5" x14ac:dyDescent="0.35">
      <c r="B24" s="5"/>
      <c r="C24" s="48"/>
      <c r="D24" s="250"/>
      <c r="E24" s="286"/>
      <c r="F24" s="286"/>
      <c r="G24" s="286"/>
      <c r="H24" s="286"/>
      <c r="I24" s="286"/>
      <c r="J24" s="286"/>
      <c r="K24" s="286"/>
      <c r="L24" s="286"/>
      <c r="M24" s="286"/>
      <c r="N24" s="286"/>
      <c r="O24" s="286"/>
      <c r="P24" s="286"/>
      <c r="Q24" s="286"/>
      <c r="R24" s="286"/>
      <c r="S24" s="286"/>
      <c r="T24" s="286"/>
      <c r="U24" s="331"/>
      <c r="V24" s="209"/>
      <c r="W24" s="209"/>
      <c r="X24" s="209"/>
      <c r="Y24" s="209"/>
      <c r="Z24" s="209"/>
      <c r="AA24" s="209"/>
      <c r="AB24" s="209"/>
      <c r="AC24" s="209"/>
      <c r="AD24" s="209"/>
      <c r="AE24" s="209"/>
      <c r="AF24" s="209"/>
      <c r="AG24" s="209"/>
    </row>
    <row r="25" spans="2:33" ht="15.5" x14ac:dyDescent="0.35">
      <c r="B25" s="5"/>
      <c r="C25" s="48"/>
      <c r="D25" s="250"/>
      <c r="E25" s="54" t="s">
        <v>12</v>
      </c>
      <c r="F25" s="447" t="s">
        <v>499</v>
      </c>
      <c r="G25" s="447"/>
      <c r="H25" s="447"/>
      <c r="I25" s="447"/>
      <c r="J25" s="447"/>
      <c r="K25" s="161" t="s">
        <v>2</v>
      </c>
      <c r="L25" s="161"/>
      <c r="M25" s="161" t="str">
        <f>IF(ISNUMBER('Stage 1'!L46),"Value","")</f>
        <v/>
      </c>
      <c r="N25" s="161"/>
      <c r="O25" s="161" t="s">
        <v>2</v>
      </c>
      <c r="P25" s="161" t="s">
        <v>3</v>
      </c>
      <c r="Q25" s="161"/>
      <c r="R25" s="161"/>
      <c r="S25" s="161"/>
      <c r="T25" s="56"/>
      <c r="U25" s="331"/>
      <c r="V25" s="209"/>
      <c r="W25" s="209"/>
      <c r="X25" s="209"/>
      <c r="Y25" s="209"/>
      <c r="Z25" s="209"/>
      <c r="AA25" s="209"/>
      <c r="AB25" s="209"/>
      <c r="AC25" s="209"/>
      <c r="AD25" s="209"/>
      <c r="AE25" s="209"/>
      <c r="AF25" s="209"/>
      <c r="AG25" s="209"/>
    </row>
    <row r="26" spans="2:33" ht="6.65" customHeight="1" x14ac:dyDescent="0.35">
      <c r="B26" s="5"/>
      <c r="C26" s="48"/>
      <c r="D26" s="250"/>
      <c r="E26" s="54"/>
      <c r="F26" s="56"/>
      <c r="G26" s="56"/>
      <c r="H26" s="56"/>
      <c r="I26" s="56"/>
      <c r="J26" s="56"/>
      <c r="K26" s="161"/>
      <c r="L26" s="161"/>
      <c r="M26" s="161"/>
      <c r="N26" s="161"/>
      <c r="O26" s="161"/>
      <c r="P26" s="161"/>
      <c r="Q26" s="161"/>
      <c r="R26" s="161"/>
      <c r="S26" s="161"/>
      <c r="T26" s="56"/>
      <c r="U26" s="331"/>
      <c r="V26" s="209"/>
      <c r="W26" s="209"/>
      <c r="X26" s="209"/>
      <c r="Y26" s="209"/>
      <c r="Z26" s="209"/>
      <c r="AA26" s="209"/>
      <c r="AB26" s="209"/>
      <c r="AC26" s="209"/>
      <c r="AD26" s="209"/>
      <c r="AE26" s="209"/>
      <c r="AF26" s="209"/>
      <c r="AG26" s="209"/>
    </row>
    <row r="27" spans="2:33" ht="15.5" x14ac:dyDescent="0.35">
      <c r="B27" s="5"/>
      <c r="C27" s="48"/>
      <c r="D27" s="250"/>
      <c r="E27" s="56"/>
      <c r="F27" s="495" t="s">
        <v>416</v>
      </c>
      <c r="G27" s="495"/>
      <c r="H27" s="495"/>
      <c r="I27" s="495"/>
      <c r="J27" s="495"/>
      <c r="K27" s="304">
        <f>K12+K20</f>
        <v>0</v>
      </c>
      <c r="L27" s="297"/>
      <c r="M27" s="343" t="str">
        <f>IF(ISNUMBER('Stage 1'!L46),M12+M20,"")</f>
        <v/>
      </c>
      <c r="N27" s="297"/>
      <c r="O27" s="326">
        <f>O12+O20</f>
        <v>0</v>
      </c>
      <c r="P27" s="272" t="s">
        <v>35</v>
      </c>
      <c r="Q27" s="272"/>
      <c r="R27" s="272"/>
      <c r="S27" s="272"/>
      <c r="T27" s="56"/>
      <c r="U27" s="331"/>
      <c r="V27" s="209"/>
      <c r="W27" s="209"/>
      <c r="X27" s="209"/>
      <c r="Y27" s="209"/>
      <c r="Z27" s="209"/>
      <c r="AA27" s="209"/>
      <c r="AB27" s="209"/>
      <c r="AC27" s="209"/>
      <c r="AD27" s="209"/>
      <c r="AE27" s="209"/>
      <c r="AF27" s="209"/>
      <c r="AG27" s="209"/>
    </row>
    <row r="28" spans="2:33" ht="15.5" x14ac:dyDescent="0.35">
      <c r="B28" s="5"/>
      <c r="C28" s="48"/>
      <c r="D28" s="250"/>
      <c r="E28" s="56"/>
      <c r="F28" s="163" t="s">
        <v>417</v>
      </c>
      <c r="G28" s="163"/>
      <c r="H28" s="163"/>
      <c r="I28" s="163"/>
      <c r="J28" s="163"/>
      <c r="K28" s="304">
        <f>K13+K21</f>
        <v>0</v>
      </c>
      <c r="L28" s="297"/>
      <c r="M28" s="344"/>
      <c r="N28" s="297"/>
      <c r="O28" s="326">
        <f>O13+O21</f>
        <v>0</v>
      </c>
      <c r="P28" s="272" t="s">
        <v>35</v>
      </c>
      <c r="Q28" s="272"/>
      <c r="R28" s="272"/>
      <c r="S28" s="272"/>
      <c r="T28" s="56"/>
      <c r="U28" s="331"/>
      <c r="V28" s="209"/>
      <c r="W28" s="209"/>
      <c r="X28" s="209"/>
      <c r="Y28" s="209"/>
      <c r="Z28" s="209"/>
      <c r="AA28" s="209"/>
      <c r="AB28" s="209"/>
      <c r="AC28" s="209"/>
      <c r="AD28" s="209"/>
      <c r="AE28" s="209"/>
      <c r="AF28" s="209"/>
      <c r="AG28" s="209"/>
    </row>
    <row r="29" spans="2:33" ht="15.5" x14ac:dyDescent="0.35">
      <c r="B29" s="5"/>
      <c r="C29" s="48"/>
      <c r="D29" s="250"/>
      <c r="E29" s="56"/>
      <c r="F29" s="56"/>
      <c r="G29" s="56"/>
      <c r="H29" s="56"/>
      <c r="I29" s="56"/>
      <c r="J29" s="56"/>
      <c r="K29" s="56"/>
      <c r="L29" s="56"/>
      <c r="M29" s="56"/>
      <c r="N29" s="56"/>
      <c r="O29" s="56"/>
      <c r="P29" s="56"/>
      <c r="Q29" s="56"/>
      <c r="R29" s="56"/>
      <c r="S29" s="56"/>
      <c r="T29" s="56"/>
      <c r="U29" s="331"/>
      <c r="V29" s="209"/>
      <c r="W29" s="209"/>
      <c r="X29" s="209"/>
      <c r="Y29" s="209"/>
      <c r="Z29" s="209"/>
      <c r="AA29" s="209"/>
      <c r="AB29" s="209"/>
      <c r="AC29" s="209"/>
      <c r="AD29" s="209"/>
      <c r="AE29" s="209"/>
      <c r="AF29" s="209"/>
      <c r="AG29" s="209"/>
    </row>
    <row r="30" spans="2:33" ht="15.5" x14ac:dyDescent="0.35">
      <c r="B30" s="5"/>
      <c r="C30" s="48"/>
      <c r="D30" s="250"/>
      <c r="E30" s="286"/>
      <c r="F30" s="286"/>
      <c r="G30" s="286"/>
      <c r="H30" s="286"/>
      <c r="I30" s="286"/>
      <c r="J30" s="286"/>
      <c r="K30" s="286"/>
      <c r="L30" s="286"/>
      <c r="M30" s="286"/>
      <c r="N30" s="286"/>
      <c r="O30" s="286"/>
      <c r="P30" s="286"/>
      <c r="Q30" s="286"/>
      <c r="R30" s="286"/>
      <c r="S30" s="286"/>
      <c r="T30" s="286"/>
      <c r="U30" s="331"/>
      <c r="V30" s="209"/>
      <c r="W30" s="209"/>
      <c r="X30" s="209"/>
      <c r="Y30" s="209"/>
      <c r="Z30" s="209"/>
      <c r="AA30" s="209"/>
      <c r="AB30" s="209"/>
      <c r="AC30" s="209"/>
      <c r="AD30" s="209"/>
      <c r="AE30" s="209"/>
      <c r="AF30" s="209"/>
      <c r="AG30" s="209"/>
    </row>
    <row r="31" spans="2:33" ht="15.5" x14ac:dyDescent="0.35">
      <c r="B31" s="5"/>
      <c r="C31" s="48"/>
      <c r="D31" s="250"/>
      <c r="E31" s="54" t="s">
        <v>14</v>
      </c>
      <c r="F31" s="447" t="s">
        <v>500</v>
      </c>
      <c r="G31" s="447"/>
      <c r="H31" s="447"/>
      <c r="I31" s="447"/>
      <c r="J31" s="447"/>
      <c r="K31" s="161" t="s">
        <v>2</v>
      </c>
      <c r="L31" s="161"/>
      <c r="M31" s="161" t="str">
        <f>IF(ISNUMBER('Stage 1'!L46),"Value","")</f>
        <v/>
      </c>
      <c r="N31" s="161"/>
      <c r="O31" s="161" t="s">
        <v>2</v>
      </c>
      <c r="P31" s="161" t="s">
        <v>3</v>
      </c>
      <c r="Q31" s="161"/>
      <c r="R31" s="161"/>
      <c r="S31" s="161"/>
      <c r="T31" s="56"/>
      <c r="U31" s="331"/>
      <c r="V31" s="209"/>
      <c r="W31" s="209"/>
      <c r="X31" s="209"/>
      <c r="Y31" s="209"/>
      <c r="Z31" s="209"/>
      <c r="AA31" s="209"/>
      <c r="AB31" s="209"/>
      <c r="AC31" s="209"/>
      <c r="AD31" s="209"/>
      <c r="AE31" s="209"/>
      <c r="AF31" s="209"/>
      <c r="AG31" s="209"/>
    </row>
    <row r="32" spans="2:33" ht="6" customHeight="1" x14ac:dyDescent="0.35">
      <c r="B32" s="5"/>
      <c r="C32" s="48"/>
      <c r="D32" s="250"/>
      <c r="E32" s="54"/>
      <c r="F32" s="56"/>
      <c r="G32" s="56"/>
      <c r="H32" s="56"/>
      <c r="I32" s="56"/>
      <c r="J32" s="56"/>
      <c r="K32" s="161"/>
      <c r="L32" s="161"/>
      <c r="M32" s="161"/>
      <c r="N32" s="161"/>
      <c r="O32" s="161"/>
      <c r="P32" s="161"/>
      <c r="Q32" s="161"/>
      <c r="R32" s="161"/>
      <c r="S32" s="161"/>
      <c r="T32" s="56"/>
      <c r="U32" s="331"/>
      <c r="V32" s="209"/>
      <c r="W32" s="209"/>
      <c r="X32" s="209"/>
      <c r="Y32" s="209"/>
      <c r="Z32" s="209"/>
      <c r="AA32" s="209"/>
      <c r="AB32" s="209"/>
      <c r="AC32" s="209"/>
      <c r="AD32" s="209"/>
      <c r="AE32" s="209"/>
      <c r="AF32" s="209"/>
      <c r="AG32" s="209"/>
    </row>
    <row r="33" spans="2:33" ht="16" customHeight="1" x14ac:dyDescent="0.35">
      <c r="B33" s="5"/>
      <c r="C33" s="48"/>
      <c r="D33" s="250"/>
      <c r="E33" s="54"/>
      <c r="F33" s="447" t="s">
        <v>67</v>
      </c>
      <c r="G33" s="447"/>
      <c r="H33" s="447"/>
      <c r="I33" s="447"/>
      <c r="J33" s="447"/>
      <c r="K33" s="268">
        <v>20</v>
      </c>
      <c r="L33" s="161"/>
      <c r="M33" s="269" t="str">
        <f>IF(ISNUMBER('Stage 1'!L46),20,"")</f>
        <v/>
      </c>
      <c r="N33" s="269"/>
      <c r="O33" s="268">
        <v>20</v>
      </c>
      <c r="P33" s="265" t="s">
        <v>55</v>
      </c>
      <c r="Q33" s="161"/>
      <c r="R33" s="161"/>
      <c r="S33" s="161"/>
      <c r="T33" s="56"/>
      <c r="U33" s="331"/>
      <c r="V33" s="209"/>
      <c r="W33" s="209"/>
      <c r="X33" s="209"/>
      <c r="Y33" s="209"/>
      <c r="Z33" s="209"/>
      <c r="AA33" s="209"/>
      <c r="AB33" s="209"/>
      <c r="AC33" s="209"/>
      <c r="AD33" s="209"/>
      <c r="AE33" s="209"/>
      <c r="AF33" s="209"/>
      <c r="AG33" s="209"/>
    </row>
    <row r="34" spans="2:33" ht="15" customHeight="1" x14ac:dyDescent="0.35">
      <c r="B34" s="5"/>
      <c r="C34" s="48"/>
      <c r="D34" s="250"/>
      <c r="E34" s="56"/>
      <c r="F34" s="447" t="s">
        <v>418</v>
      </c>
      <c r="G34" s="447"/>
      <c r="H34" s="447"/>
      <c r="I34" s="447"/>
      <c r="J34" s="447"/>
      <c r="K34" s="304">
        <f>IF(K27&gt;0,K27*(K33/100),K27*0)</f>
        <v>0</v>
      </c>
      <c r="L34" s="297"/>
      <c r="M34" s="297" t="str">
        <f>IF(ISNUMBER('Stage 1'!L46),IF(M27&gt;0,M27*(M33/100),M27*0),"")</f>
        <v/>
      </c>
      <c r="N34" s="297"/>
      <c r="O34" s="304">
        <f>IF(O27&gt;0,O27*(O33/100),O27*0)</f>
        <v>0</v>
      </c>
      <c r="P34" s="272" t="s">
        <v>35</v>
      </c>
      <c r="Q34" s="272"/>
      <c r="R34" s="272"/>
      <c r="S34" s="272"/>
      <c r="T34" s="56"/>
      <c r="U34" s="331"/>
      <c r="V34" s="209"/>
      <c r="W34" s="209"/>
      <c r="X34" s="209"/>
      <c r="Y34" s="209"/>
      <c r="Z34" s="209"/>
      <c r="AA34" s="209"/>
      <c r="AB34" s="209"/>
      <c r="AC34" s="209"/>
      <c r="AD34" s="209"/>
      <c r="AE34" s="209"/>
      <c r="AF34" s="209"/>
      <c r="AG34" s="209"/>
    </row>
    <row r="35" spans="2:33" ht="15.5" x14ac:dyDescent="0.35">
      <c r="B35" s="5"/>
      <c r="C35" s="48"/>
      <c r="D35" s="250"/>
      <c r="E35" s="56"/>
      <c r="F35" s="56" t="s">
        <v>419</v>
      </c>
      <c r="G35" s="56"/>
      <c r="H35" s="56"/>
      <c r="I35" s="56"/>
      <c r="J35" s="56"/>
      <c r="K35" s="304">
        <f>IF(K28&gt;0,K28*(K33/100),K28*0)</f>
        <v>0</v>
      </c>
      <c r="L35" s="297"/>
      <c r="M35" s="344"/>
      <c r="N35" s="297"/>
      <c r="O35" s="304">
        <f>IF(O28&gt;0,O28*(O33/100),O28*0)</f>
        <v>0</v>
      </c>
      <c r="P35" s="272" t="s">
        <v>35</v>
      </c>
      <c r="Q35" s="56"/>
      <c r="R35" s="56"/>
      <c r="S35" s="56"/>
      <c r="T35" s="56"/>
      <c r="U35" s="331"/>
      <c r="V35" s="209"/>
      <c r="W35" s="209" t="s">
        <v>445</v>
      </c>
      <c r="X35" s="209"/>
      <c r="Y35" s="209"/>
      <c r="Z35" s="209"/>
      <c r="AA35" s="209"/>
      <c r="AB35" s="209"/>
      <c r="AC35" s="209"/>
      <c r="AD35" s="209"/>
      <c r="AE35" s="209"/>
      <c r="AF35" s="209"/>
      <c r="AG35" s="209"/>
    </row>
    <row r="36" spans="2:33" ht="15.5" x14ac:dyDescent="0.35">
      <c r="B36" s="5"/>
      <c r="C36" s="48"/>
      <c r="D36" s="250"/>
      <c r="E36" s="56"/>
      <c r="F36" s="56"/>
      <c r="G36" s="56"/>
      <c r="H36" s="56"/>
      <c r="I36" s="56"/>
      <c r="J36" s="56"/>
      <c r="K36" s="56"/>
      <c r="L36" s="56"/>
      <c r="M36" s="262"/>
      <c r="N36" s="262"/>
      <c r="O36" s="262"/>
      <c r="P36" s="56"/>
      <c r="Q36" s="56"/>
      <c r="R36" s="56"/>
      <c r="S36" s="56"/>
      <c r="T36" s="56"/>
      <c r="U36" s="331"/>
      <c r="V36" s="209"/>
      <c r="W36" s="209" t="s">
        <v>250</v>
      </c>
      <c r="X36" s="209"/>
      <c r="Y36" s="209"/>
      <c r="Z36" s="209"/>
      <c r="AA36" s="209"/>
      <c r="AB36" s="209"/>
      <c r="AC36" s="209"/>
      <c r="AD36" s="209"/>
      <c r="AE36" s="209"/>
      <c r="AF36" s="209"/>
      <c r="AG36" s="209"/>
    </row>
    <row r="37" spans="2:33" ht="12.65" customHeight="1" x14ac:dyDescent="0.35">
      <c r="B37" s="5"/>
      <c r="C37" s="48"/>
      <c r="D37" s="250"/>
      <c r="E37" s="497" t="s">
        <v>542</v>
      </c>
      <c r="F37" s="497"/>
      <c r="G37" s="497"/>
      <c r="H37" s="497"/>
      <c r="I37" s="497"/>
      <c r="J37" s="497"/>
      <c r="K37" s="497"/>
      <c r="L37" s="497"/>
      <c r="M37" s="497"/>
      <c r="N37" s="497"/>
      <c r="O37" s="497"/>
      <c r="P37" s="497"/>
      <c r="Q37" s="497"/>
      <c r="R37" s="497"/>
      <c r="S37" s="497"/>
      <c r="T37" s="497"/>
      <c r="U37" s="331"/>
      <c r="V37" s="209"/>
      <c r="W37" s="209"/>
      <c r="X37" s="209"/>
      <c r="Y37" s="209"/>
      <c r="Z37" s="209"/>
      <c r="AA37" s="209"/>
      <c r="AB37" s="209"/>
      <c r="AC37" s="209"/>
      <c r="AD37" s="209"/>
      <c r="AE37" s="209"/>
      <c r="AF37" s="209"/>
      <c r="AG37" s="209"/>
    </row>
    <row r="38" spans="2:33" ht="38" customHeight="1" x14ac:dyDescent="0.35">
      <c r="B38" s="5"/>
      <c r="C38" s="48"/>
      <c r="D38" s="250"/>
      <c r="E38" s="497"/>
      <c r="F38" s="497"/>
      <c r="G38" s="497"/>
      <c r="H38" s="497"/>
      <c r="I38" s="497"/>
      <c r="J38" s="497"/>
      <c r="K38" s="497"/>
      <c r="L38" s="497"/>
      <c r="M38" s="497"/>
      <c r="N38" s="497"/>
      <c r="O38" s="497"/>
      <c r="P38" s="497"/>
      <c r="Q38" s="497"/>
      <c r="R38" s="497"/>
      <c r="S38" s="497"/>
      <c r="T38" s="497"/>
      <c r="U38" s="331"/>
      <c r="V38" s="209"/>
      <c r="W38" s="345" t="s">
        <v>555</v>
      </c>
      <c r="X38" s="209"/>
      <c r="Y38" s="209"/>
      <c r="Z38" s="209"/>
      <c r="AA38" s="209"/>
      <c r="AB38" s="209"/>
      <c r="AC38" s="209"/>
      <c r="AD38" s="209"/>
      <c r="AE38" s="209"/>
      <c r="AF38" s="209"/>
      <c r="AG38" s="209"/>
    </row>
    <row r="39" spans="2:33" ht="1.5" customHeight="1" x14ac:dyDescent="0.35">
      <c r="B39" s="5"/>
      <c r="C39" s="48"/>
      <c r="D39" s="250"/>
      <c r="E39" s="346"/>
      <c r="F39" s="346"/>
      <c r="G39" s="346"/>
      <c r="H39" s="346"/>
      <c r="I39" s="346"/>
      <c r="J39" s="346"/>
      <c r="K39" s="346"/>
      <c r="L39" s="346"/>
      <c r="M39" s="346"/>
      <c r="N39" s="346"/>
      <c r="O39" s="346"/>
      <c r="P39" s="346"/>
      <c r="Q39" s="346"/>
      <c r="R39" s="346"/>
      <c r="S39" s="346"/>
      <c r="T39" s="346"/>
      <c r="U39" s="331"/>
      <c r="V39" s="209"/>
      <c r="W39" s="209"/>
      <c r="X39" s="209"/>
      <c r="Y39" s="209"/>
      <c r="Z39" s="209"/>
      <c r="AA39" s="209"/>
      <c r="AB39" s="209"/>
      <c r="AC39" s="209"/>
      <c r="AD39" s="209"/>
      <c r="AE39" s="209"/>
      <c r="AF39" s="209"/>
      <c r="AG39" s="209"/>
    </row>
    <row r="40" spans="2:33" ht="15.5" x14ac:dyDescent="0.35">
      <c r="B40" s="5"/>
      <c r="C40" s="48"/>
      <c r="D40" s="250"/>
      <c r="E40" s="286"/>
      <c r="F40" s="286"/>
      <c r="G40" s="286"/>
      <c r="H40" s="286"/>
      <c r="I40" s="286"/>
      <c r="J40" s="286"/>
      <c r="K40" s="286"/>
      <c r="L40" s="286"/>
      <c r="M40" s="286"/>
      <c r="N40" s="286"/>
      <c r="O40" s="286"/>
      <c r="P40" s="286"/>
      <c r="Q40" s="286"/>
      <c r="R40" s="286"/>
      <c r="S40" s="286"/>
      <c r="T40" s="286"/>
      <c r="U40" s="331"/>
      <c r="V40" s="209"/>
      <c r="W40" s="345" t="s">
        <v>556</v>
      </c>
      <c r="X40" s="209"/>
      <c r="Y40" s="209"/>
      <c r="Z40" s="209"/>
      <c r="AA40" s="209"/>
      <c r="AB40" s="209"/>
      <c r="AC40" s="209"/>
      <c r="AD40" s="209"/>
      <c r="AE40" s="209"/>
      <c r="AF40" s="209"/>
      <c r="AG40" s="209"/>
    </row>
    <row r="41" spans="2:33" ht="15.5" x14ac:dyDescent="0.35">
      <c r="B41" s="5"/>
      <c r="C41" s="48"/>
      <c r="D41" s="250"/>
      <c r="E41" s="54" t="s">
        <v>27</v>
      </c>
      <c r="F41" s="495" t="s">
        <v>501</v>
      </c>
      <c r="G41" s="495"/>
      <c r="H41" s="495"/>
      <c r="I41" s="495"/>
      <c r="J41" s="495"/>
      <c r="K41" s="161" t="s">
        <v>2</v>
      </c>
      <c r="L41" s="161"/>
      <c r="M41" s="161" t="str">
        <f>IF(ISNUMBER('Stage 1'!L46),"Value","")</f>
        <v/>
      </c>
      <c r="N41" s="161"/>
      <c r="O41" s="161"/>
      <c r="P41" s="161" t="s">
        <v>3</v>
      </c>
      <c r="Q41" s="161"/>
      <c r="R41" s="161"/>
      <c r="S41" s="161"/>
      <c r="T41" s="56"/>
      <c r="U41" s="331"/>
      <c r="V41" s="209"/>
      <c r="W41" s="209" t="s">
        <v>557</v>
      </c>
      <c r="X41" s="209"/>
      <c r="Y41" s="209"/>
      <c r="Z41" s="209"/>
      <c r="AA41" s="209"/>
      <c r="AB41" s="209"/>
      <c r="AC41" s="209"/>
      <c r="AD41" s="209"/>
      <c r="AE41" s="209"/>
      <c r="AF41" s="209"/>
      <c r="AG41" s="209"/>
    </row>
    <row r="42" spans="2:33" ht="6.65" customHeight="1" x14ac:dyDescent="0.35">
      <c r="B42" s="5"/>
      <c r="C42" s="48"/>
      <c r="D42" s="250"/>
      <c r="E42" s="54"/>
      <c r="F42" s="56"/>
      <c r="G42" s="56"/>
      <c r="H42" s="56"/>
      <c r="I42" s="56"/>
      <c r="J42" s="56"/>
      <c r="K42" s="161"/>
      <c r="L42" s="161"/>
      <c r="M42" s="161"/>
      <c r="N42" s="161"/>
      <c r="O42" s="161"/>
      <c r="P42" s="161"/>
      <c r="Q42" s="161"/>
      <c r="R42" s="161"/>
      <c r="S42" s="161"/>
      <c r="T42" s="56"/>
      <c r="U42" s="331"/>
      <c r="V42" s="209"/>
      <c r="W42" s="209" t="s">
        <v>559</v>
      </c>
      <c r="X42" s="209"/>
      <c r="Y42" s="209"/>
      <c r="Z42" s="209"/>
      <c r="AA42" s="209"/>
      <c r="AB42" s="209"/>
      <c r="AC42" s="209"/>
      <c r="AD42" s="209"/>
      <c r="AE42" s="209"/>
      <c r="AF42" s="209"/>
      <c r="AG42" s="209"/>
    </row>
    <row r="43" spans="2:33" ht="15.5" x14ac:dyDescent="0.35">
      <c r="B43" s="5"/>
      <c r="C43" s="48"/>
      <c r="D43" s="250"/>
      <c r="E43" s="56"/>
      <c r="F43" s="495" t="s">
        <v>255</v>
      </c>
      <c r="G43" s="495"/>
      <c r="H43" s="495"/>
      <c r="I43" s="495"/>
      <c r="J43" s="495"/>
      <c r="K43" s="304">
        <f>K27+K34</f>
        <v>0</v>
      </c>
      <c r="L43" s="297"/>
      <c r="M43" s="343" t="str">
        <f>IF(ISNUMBER('Stage 1'!L46),M27+M34,"")</f>
        <v/>
      </c>
      <c r="N43" s="297"/>
      <c r="O43" s="304">
        <f>O27+O34</f>
        <v>0</v>
      </c>
      <c r="P43" s="272" t="s">
        <v>15</v>
      </c>
      <c r="Q43" s="272"/>
      <c r="R43" s="272"/>
      <c r="S43" s="272"/>
      <c r="T43" s="56"/>
      <c r="U43" s="331"/>
      <c r="V43" s="209"/>
      <c r="W43" s="209" t="s">
        <v>558</v>
      </c>
      <c r="X43" s="209"/>
      <c r="Y43" s="209"/>
      <c r="Z43" s="209"/>
      <c r="AA43" s="209"/>
      <c r="AB43" s="209"/>
      <c r="AC43" s="209"/>
      <c r="AD43" s="209"/>
      <c r="AE43" s="209"/>
      <c r="AF43" s="209"/>
      <c r="AG43" s="209"/>
    </row>
    <row r="44" spans="2:33" ht="15.5" x14ac:dyDescent="0.35">
      <c r="B44" s="5"/>
      <c r="C44" s="48"/>
      <c r="D44" s="250"/>
      <c r="E44" s="56"/>
      <c r="F44" s="495" t="s">
        <v>505</v>
      </c>
      <c r="G44" s="495"/>
      <c r="H44" s="495"/>
      <c r="I44" s="495"/>
      <c r="J44" s="495"/>
      <c r="K44" s="304">
        <f>K28+K35</f>
        <v>0</v>
      </c>
      <c r="L44" s="297"/>
      <c r="M44" s="344"/>
      <c r="N44" s="344"/>
      <c r="O44" s="304">
        <f>O28+O35</f>
        <v>0</v>
      </c>
      <c r="P44" s="272" t="s">
        <v>15</v>
      </c>
      <c r="Q44" s="56"/>
      <c r="R44" s="56"/>
      <c r="S44" s="56"/>
      <c r="T44" s="56"/>
      <c r="U44" s="331"/>
      <c r="V44" s="209"/>
      <c r="W44" s="209"/>
      <c r="X44" s="209"/>
      <c r="Y44" s="209"/>
      <c r="Z44" s="209"/>
      <c r="AA44" s="209"/>
      <c r="AB44" s="209"/>
      <c r="AC44" s="209"/>
      <c r="AD44" s="209"/>
      <c r="AE44" s="209"/>
      <c r="AF44" s="209"/>
      <c r="AG44" s="209"/>
    </row>
    <row r="45" spans="2:33" ht="15.5" x14ac:dyDescent="0.35">
      <c r="B45" s="5"/>
      <c r="C45" s="48"/>
      <c r="D45" s="250"/>
      <c r="E45" s="250"/>
      <c r="F45" s="250"/>
      <c r="G45" s="250"/>
      <c r="H45" s="250"/>
      <c r="I45" s="250"/>
      <c r="J45" s="250"/>
      <c r="K45" s="250"/>
      <c r="L45" s="250"/>
      <c r="M45" s="250"/>
      <c r="N45" s="250"/>
      <c r="O45" s="250"/>
      <c r="P45" s="250"/>
      <c r="Q45" s="250"/>
      <c r="R45" s="250"/>
      <c r="S45" s="250"/>
      <c r="T45" s="250"/>
      <c r="U45" s="331"/>
      <c r="V45" s="209"/>
      <c r="W45" s="209"/>
      <c r="X45" s="209"/>
      <c r="Y45" s="209"/>
      <c r="Z45" s="209"/>
      <c r="AA45" s="209"/>
      <c r="AB45" s="209"/>
      <c r="AC45" s="209"/>
      <c r="AD45" s="209"/>
      <c r="AE45" s="209"/>
      <c r="AF45" s="209"/>
      <c r="AG45" s="209"/>
    </row>
    <row r="46" spans="2:33" ht="12.65" customHeight="1" x14ac:dyDescent="0.35">
      <c r="B46" s="5"/>
      <c r="C46" s="48"/>
      <c r="D46" s="515" t="s">
        <v>560</v>
      </c>
      <c r="E46" s="515"/>
      <c r="F46" s="515"/>
      <c r="G46" s="515"/>
      <c r="H46" s="515"/>
      <c r="I46" s="515"/>
      <c r="J46" s="515"/>
      <c r="K46" s="515"/>
      <c r="L46" s="515"/>
      <c r="M46" s="515"/>
      <c r="N46" s="515"/>
      <c r="O46" s="515"/>
      <c r="P46" s="515"/>
      <c r="Q46" s="515"/>
      <c r="R46" s="515"/>
      <c r="S46" s="515"/>
      <c r="T46" s="515"/>
      <c r="U46" s="331"/>
      <c r="V46" s="209"/>
      <c r="W46" s="209"/>
      <c r="X46" s="209"/>
      <c r="Y46" s="209"/>
      <c r="Z46" s="209"/>
      <c r="AA46" s="209"/>
      <c r="AB46" s="209"/>
      <c r="AC46" s="209"/>
      <c r="AD46" s="209"/>
      <c r="AE46" s="209"/>
      <c r="AF46" s="209"/>
      <c r="AG46" s="209"/>
    </row>
    <row r="47" spans="2:33" ht="35.5" customHeight="1" x14ac:dyDescent="0.35">
      <c r="B47" s="5"/>
      <c r="C47" s="48"/>
      <c r="D47" s="514" t="str">
        <f>IF(K43&gt;0,W38,W36)</f>
        <v>Development will be Phosphate neutral - no mitigation will be required</v>
      </c>
      <c r="E47" s="514"/>
      <c r="F47" s="514"/>
      <c r="G47" s="514"/>
      <c r="H47" s="514"/>
      <c r="I47" s="514"/>
      <c r="J47" s="514"/>
      <c r="K47" s="514"/>
      <c r="L47" s="514"/>
      <c r="M47" s="514"/>
      <c r="N47" s="514"/>
      <c r="O47" s="514"/>
      <c r="P47" s="514"/>
      <c r="Q47" s="514"/>
      <c r="R47" s="514"/>
      <c r="S47" s="514"/>
      <c r="T47" s="514"/>
      <c r="U47" s="331"/>
      <c r="V47" s="209"/>
      <c r="W47" s="209"/>
      <c r="X47" s="209"/>
      <c r="Y47" s="209"/>
      <c r="Z47" s="209"/>
      <c r="AA47" s="209"/>
      <c r="AB47" s="209"/>
      <c r="AC47" s="209"/>
      <c r="AD47" s="209"/>
      <c r="AE47" s="209"/>
      <c r="AF47" s="209"/>
      <c r="AG47" s="209"/>
    </row>
    <row r="48" spans="2:33" ht="4.5" customHeight="1" x14ac:dyDescent="0.35">
      <c r="B48" s="5"/>
      <c r="C48" s="48"/>
      <c r="D48" s="514"/>
      <c r="E48" s="514"/>
      <c r="F48" s="514"/>
      <c r="G48" s="514"/>
      <c r="H48" s="514"/>
      <c r="I48" s="514"/>
      <c r="J48" s="514"/>
      <c r="K48" s="514"/>
      <c r="L48" s="514"/>
      <c r="M48" s="514"/>
      <c r="N48" s="514"/>
      <c r="O48" s="514"/>
      <c r="P48" s="514"/>
      <c r="Q48" s="514"/>
      <c r="R48" s="514"/>
      <c r="S48" s="514"/>
      <c r="T48" s="514"/>
      <c r="U48" s="331"/>
      <c r="V48" s="209"/>
      <c r="W48" s="209"/>
      <c r="X48" s="209"/>
      <c r="Y48" s="209"/>
      <c r="Z48" s="209"/>
      <c r="AA48" s="209"/>
      <c r="AB48" s="209"/>
      <c r="AC48" s="209"/>
      <c r="AD48" s="209"/>
      <c r="AE48" s="209"/>
      <c r="AF48" s="209"/>
      <c r="AG48" s="209"/>
    </row>
    <row r="49" spans="2:33" ht="13" customHeight="1" x14ac:dyDescent="0.35">
      <c r="B49" s="5"/>
      <c r="C49" s="48"/>
      <c r="D49" s="514" t="str">
        <f>IF(ISNUMBER('Stage 1'!L46),"Post 2025 TP loading","")</f>
        <v/>
      </c>
      <c r="E49" s="514"/>
      <c r="F49" s="514"/>
      <c r="G49" s="514"/>
      <c r="H49" s="514"/>
      <c r="I49" s="514"/>
      <c r="J49" s="514"/>
      <c r="K49" s="514"/>
      <c r="L49" s="514"/>
      <c r="M49" s="514"/>
      <c r="N49" s="514"/>
      <c r="O49" s="514"/>
      <c r="P49" s="514"/>
      <c r="Q49" s="514"/>
      <c r="R49" s="514"/>
      <c r="S49" s="514"/>
      <c r="T49" s="514"/>
      <c r="U49" s="331"/>
      <c r="V49" s="209"/>
      <c r="W49" s="209"/>
      <c r="X49" s="209"/>
      <c r="Y49" s="209"/>
      <c r="Z49" s="209"/>
      <c r="AA49" s="209"/>
      <c r="AB49" s="209"/>
      <c r="AC49" s="209"/>
      <c r="AD49" s="209"/>
      <c r="AE49" s="209"/>
      <c r="AF49" s="209"/>
      <c r="AG49" s="209"/>
    </row>
    <row r="50" spans="2:33" ht="35.5" customHeight="1" x14ac:dyDescent="0.35">
      <c r="B50" s="5"/>
      <c r="C50" s="48"/>
      <c r="D50" s="514" t="str">
        <f>IF(ISNUMBER('Stage 1'!L46),IF(M43&gt;0,W40,W36),"")</f>
        <v/>
      </c>
      <c r="E50" s="514"/>
      <c r="F50" s="514"/>
      <c r="G50" s="514"/>
      <c r="H50" s="514"/>
      <c r="I50" s="514"/>
      <c r="J50" s="514"/>
      <c r="K50" s="514"/>
      <c r="L50" s="514"/>
      <c r="M50" s="514"/>
      <c r="N50" s="514"/>
      <c r="O50" s="514"/>
      <c r="P50" s="514"/>
      <c r="Q50" s="514"/>
      <c r="R50" s="514"/>
      <c r="S50" s="514"/>
      <c r="T50" s="514"/>
      <c r="U50" s="331"/>
      <c r="V50" s="209"/>
      <c r="W50" s="209"/>
      <c r="X50" s="209"/>
      <c r="Y50" s="209"/>
      <c r="Z50" s="209"/>
      <c r="AA50" s="209"/>
      <c r="AB50" s="209"/>
      <c r="AC50" s="209"/>
      <c r="AD50" s="209"/>
      <c r="AE50" s="209"/>
      <c r="AF50" s="209"/>
      <c r="AG50" s="209"/>
    </row>
    <row r="51" spans="2:33" ht="4" customHeight="1" x14ac:dyDescent="0.35">
      <c r="B51" s="5"/>
      <c r="C51" s="48"/>
      <c r="D51" s="313"/>
      <c r="E51" s="313"/>
      <c r="F51" s="313"/>
      <c r="G51" s="313"/>
      <c r="H51" s="313"/>
      <c r="I51" s="313"/>
      <c r="J51" s="313"/>
      <c r="K51" s="313"/>
      <c r="L51" s="313"/>
      <c r="M51" s="313"/>
      <c r="N51" s="313"/>
      <c r="O51" s="313"/>
      <c r="P51" s="313"/>
      <c r="Q51" s="313"/>
      <c r="R51" s="313"/>
      <c r="S51" s="313"/>
      <c r="T51" s="313"/>
      <c r="U51" s="331"/>
      <c r="V51" s="209"/>
      <c r="W51" s="209"/>
      <c r="X51" s="209"/>
      <c r="Y51" s="209"/>
      <c r="Z51" s="209"/>
      <c r="AA51" s="209"/>
      <c r="AB51" s="209"/>
      <c r="AC51" s="209"/>
      <c r="AD51" s="209"/>
      <c r="AE51" s="209"/>
      <c r="AF51" s="209"/>
      <c r="AG51" s="209"/>
    </row>
    <row r="52" spans="2:33" ht="15.5" customHeight="1" x14ac:dyDescent="0.35">
      <c r="B52" s="5"/>
      <c r="C52" s="48"/>
      <c r="D52" s="514" t="s">
        <v>561</v>
      </c>
      <c r="E52" s="514"/>
      <c r="F52" s="514"/>
      <c r="G52" s="514"/>
      <c r="H52" s="514"/>
      <c r="I52" s="514"/>
      <c r="J52" s="514"/>
      <c r="K52" s="514"/>
      <c r="L52" s="514"/>
      <c r="M52" s="514"/>
      <c r="N52" s="514"/>
      <c r="O52" s="514"/>
      <c r="P52" s="514"/>
      <c r="Q52" s="514"/>
      <c r="R52" s="514"/>
      <c r="S52" s="514"/>
      <c r="T52" s="514"/>
      <c r="U52" s="331"/>
      <c r="V52" s="209"/>
      <c r="W52" s="209"/>
      <c r="X52" s="209"/>
      <c r="Y52" s="209"/>
      <c r="Z52" s="209"/>
      <c r="AA52" s="209"/>
      <c r="AB52" s="209"/>
      <c r="AC52" s="209"/>
      <c r="AD52" s="209"/>
      <c r="AE52" s="209"/>
      <c r="AF52" s="209"/>
      <c r="AG52" s="209"/>
    </row>
    <row r="53" spans="2:33" ht="35.5" customHeight="1" x14ac:dyDescent="0.35">
      <c r="B53" s="5"/>
      <c r="C53" s="48"/>
      <c r="D53" s="514" t="str">
        <f>IF(O43&gt;0,W42,W36)</f>
        <v>Development will be Phosphate neutral - no mitigation will be required</v>
      </c>
      <c r="E53" s="514"/>
      <c r="F53" s="514"/>
      <c r="G53" s="514"/>
      <c r="H53" s="514"/>
      <c r="I53" s="514"/>
      <c r="J53" s="514"/>
      <c r="K53" s="514"/>
      <c r="L53" s="514"/>
      <c r="M53" s="514"/>
      <c r="N53" s="514"/>
      <c r="O53" s="514"/>
      <c r="P53" s="514"/>
      <c r="Q53" s="514"/>
      <c r="R53" s="514"/>
      <c r="S53" s="514"/>
      <c r="T53" s="514"/>
      <c r="U53" s="331"/>
      <c r="V53" s="209"/>
      <c r="W53" s="209"/>
      <c r="X53" s="209"/>
      <c r="Y53" s="209"/>
      <c r="Z53" s="209"/>
      <c r="AA53" s="209"/>
      <c r="AB53" s="209"/>
      <c r="AC53" s="209"/>
      <c r="AD53" s="209"/>
      <c r="AE53" s="209"/>
      <c r="AF53" s="209"/>
      <c r="AG53" s="209"/>
    </row>
    <row r="54" spans="2:33" ht="9" customHeight="1" x14ac:dyDescent="0.35">
      <c r="B54" s="5"/>
      <c r="C54" s="48"/>
      <c r="D54" s="313"/>
      <c r="E54" s="313"/>
      <c r="F54" s="313"/>
      <c r="G54" s="313"/>
      <c r="H54" s="313"/>
      <c r="I54" s="313"/>
      <c r="J54" s="313"/>
      <c r="K54" s="313"/>
      <c r="L54" s="313"/>
      <c r="M54" s="313"/>
      <c r="N54" s="313"/>
      <c r="O54" s="313"/>
      <c r="P54" s="313"/>
      <c r="Q54" s="313"/>
      <c r="R54" s="313"/>
      <c r="S54" s="313"/>
      <c r="T54" s="313"/>
      <c r="U54" s="331"/>
      <c r="V54" s="209"/>
      <c r="W54" s="209"/>
      <c r="X54" s="209"/>
      <c r="Y54" s="209"/>
      <c r="Z54" s="209"/>
      <c r="AA54" s="209"/>
      <c r="AB54" s="209"/>
      <c r="AC54" s="209"/>
      <c r="AD54" s="209"/>
      <c r="AE54" s="209"/>
      <c r="AF54" s="209"/>
      <c r="AG54" s="209"/>
    </row>
    <row r="55" spans="2:33" ht="16.5" customHeight="1" x14ac:dyDescent="0.35">
      <c r="B55" s="5"/>
      <c r="C55" s="48"/>
      <c r="D55" s="514" t="s">
        <v>562</v>
      </c>
      <c r="E55" s="514"/>
      <c r="F55" s="514"/>
      <c r="G55" s="514"/>
      <c r="H55" s="514"/>
      <c r="I55" s="514"/>
      <c r="J55" s="514"/>
      <c r="K55" s="514"/>
      <c r="L55" s="514"/>
      <c r="M55" s="514"/>
      <c r="N55" s="514"/>
      <c r="O55" s="514"/>
      <c r="P55" s="514"/>
      <c r="Q55" s="514"/>
      <c r="R55" s="514"/>
      <c r="S55" s="514"/>
      <c r="T55" s="514"/>
      <c r="U55" s="331"/>
      <c r="V55" s="209"/>
      <c r="W55" s="209"/>
      <c r="X55" s="209"/>
      <c r="Y55" s="209"/>
      <c r="Z55" s="209"/>
      <c r="AA55" s="209"/>
      <c r="AB55" s="209"/>
      <c r="AC55" s="209"/>
      <c r="AD55" s="209"/>
      <c r="AE55" s="209"/>
      <c r="AF55" s="209"/>
      <c r="AG55" s="209"/>
    </row>
    <row r="56" spans="2:33" ht="35.5" customHeight="1" x14ac:dyDescent="0.35">
      <c r="B56" s="5"/>
      <c r="C56" s="48"/>
      <c r="D56" s="514" t="str">
        <f>IF(K44&gt;0,W41,W35)</f>
        <v>Development will be Nitrate neutral - no mitigation will be required</v>
      </c>
      <c r="E56" s="514"/>
      <c r="F56" s="514"/>
      <c r="G56" s="514"/>
      <c r="H56" s="514"/>
      <c r="I56" s="514"/>
      <c r="J56" s="514"/>
      <c r="K56" s="514"/>
      <c r="L56" s="514"/>
      <c r="M56" s="514"/>
      <c r="N56" s="514"/>
      <c r="O56" s="514"/>
      <c r="P56" s="514"/>
      <c r="Q56" s="514"/>
      <c r="R56" s="514"/>
      <c r="S56" s="514"/>
      <c r="T56" s="514"/>
      <c r="U56" s="331"/>
      <c r="V56" s="209"/>
      <c r="W56" s="209"/>
      <c r="X56" s="209"/>
      <c r="Y56" s="209"/>
      <c r="Z56" s="209"/>
      <c r="AA56" s="209"/>
      <c r="AB56" s="209"/>
      <c r="AC56" s="209"/>
      <c r="AD56" s="209"/>
      <c r="AE56" s="209"/>
      <c r="AF56" s="209"/>
      <c r="AG56" s="209"/>
    </row>
    <row r="57" spans="2:33" ht="8" customHeight="1" x14ac:dyDescent="0.35">
      <c r="B57" s="5"/>
      <c r="C57" s="48"/>
      <c r="D57" s="313"/>
      <c r="E57" s="313"/>
      <c r="F57" s="313"/>
      <c r="G57" s="313"/>
      <c r="H57" s="313"/>
      <c r="I57" s="313"/>
      <c r="J57" s="313"/>
      <c r="K57" s="313"/>
      <c r="L57" s="313"/>
      <c r="M57" s="313"/>
      <c r="N57" s="313"/>
      <c r="O57" s="313"/>
      <c r="P57" s="313"/>
      <c r="Q57" s="313"/>
      <c r="R57" s="313"/>
      <c r="S57" s="313"/>
      <c r="T57" s="313"/>
      <c r="U57" s="331"/>
      <c r="V57" s="209"/>
      <c r="W57" s="209"/>
      <c r="X57" s="209"/>
      <c r="Y57" s="209"/>
      <c r="Z57" s="209"/>
      <c r="AA57" s="209"/>
      <c r="AB57" s="209"/>
      <c r="AC57" s="209"/>
      <c r="AD57" s="209"/>
      <c r="AE57" s="209"/>
      <c r="AF57" s="209"/>
      <c r="AG57" s="209"/>
    </row>
    <row r="58" spans="2:33" ht="17.5" customHeight="1" x14ac:dyDescent="0.35">
      <c r="B58" s="5"/>
      <c r="C58" s="48"/>
      <c r="D58" s="514" t="s">
        <v>563</v>
      </c>
      <c r="E58" s="514"/>
      <c r="F58" s="514"/>
      <c r="G58" s="514"/>
      <c r="H58" s="514"/>
      <c r="I58" s="514"/>
      <c r="J58" s="514"/>
      <c r="K58" s="514"/>
      <c r="L58" s="514"/>
      <c r="M58" s="514"/>
      <c r="N58" s="514"/>
      <c r="O58" s="514"/>
      <c r="P58" s="514"/>
      <c r="Q58" s="514"/>
      <c r="R58" s="514"/>
      <c r="S58" s="514"/>
      <c r="T58" s="514"/>
      <c r="U58" s="331"/>
      <c r="V58" s="209"/>
      <c r="W58" s="209"/>
      <c r="X58" s="209"/>
      <c r="Y58" s="209"/>
      <c r="Z58" s="209"/>
      <c r="AA58" s="209"/>
      <c r="AB58" s="209"/>
      <c r="AC58" s="209"/>
      <c r="AD58" s="209"/>
      <c r="AE58" s="209"/>
      <c r="AF58" s="209"/>
      <c r="AG58" s="209"/>
    </row>
    <row r="59" spans="2:33" ht="42.5" customHeight="1" x14ac:dyDescent="0.35">
      <c r="B59" s="5"/>
      <c r="C59" s="48"/>
      <c r="D59" s="514" t="str">
        <f>IF(O44&gt;0,W43,W35)</f>
        <v>Development will be Nitrate neutral - no mitigation will be required</v>
      </c>
      <c r="E59" s="514"/>
      <c r="F59" s="514"/>
      <c r="G59" s="514"/>
      <c r="H59" s="514"/>
      <c r="I59" s="514"/>
      <c r="J59" s="514"/>
      <c r="K59" s="514"/>
      <c r="L59" s="514"/>
      <c r="M59" s="514"/>
      <c r="N59" s="514"/>
      <c r="O59" s="514"/>
      <c r="P59" s="514"/>
      <c r="Q59" s="514"/>
      <c r="R59" s="514"/>
      <c r="S59" s="514"/>
      <c r="T59" s="514"/>
      <c r="U59" s="331"/>
      <c r="V59" s="209"/>
      <c r="W59" s="209"/>
      <c r="X59" s="209"/>
      <c r="Y59" s="209"/>
      <c r="Z59" s="209"/>
      <c r="AA59" s="209"/>
      <c r="AB59" s="209"/>
      <c r="AC59" s="209"/>
      <c r="AD59" s="209"/>
      <c r="AE59" s="209"/>
      <c r="AF59" s="209"/>
      <c r="AG59" s="209"/>
    </row>
    <row r="60" spans="2:33" ht="6" customHeight="1" thickBot="1" x14ac:dyDescent="0.4">
      <c r="B60" s="8"/>
      <c r="C60" s="58"/>
      <c r="D60" s="301"/>
      <c r="E60" s="301"/>
      <c r="F60" s="301"/>
      <c r="G60" s="301"/>
      <c r="H60" s="301"/>
      <c r="I60" s="301"/>
      <c r="J60" s="301"/>
      <c r="K60" s="301"/>
      <c r="L60" s="301"/>
      <c r="M60" s="301"/>
      <c r="N60" s="301"/>
      <c r="O60" s="301"/>
      <c r="P60" s="301"/>
      <c r="Q60" s="301"/>
      <c r="R60" s="301"/>
      <c r="S60" s="301"/>
      <c r="T60" s="301"/>
      <c r="U60" s="347"/>
      <c r="V60" s="209"/>
      <c r="W60" s="209"/>
      <c r="X60" s="209"/>
      <c r="Y60" s="209"/>
      <c r="Z60" s="209"/>
      <c r="AA60" s="209"/>
      <c r="AB60" s="209"/>
      <c r="AC60" s="209"/>
      <c r="AD60" s="209"/>
      <c r="AE60" s="209"/>
      <c r="AF60" s="209"/>
      <c r="AG60" s="209"/>
    </row>
    <row r="61" spans="2:33" ht="15.5" x14ac:dyDescent="0.35">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row>
  </sheetData>
  <sheetProtection algorithmName="SHA-512" hashValue="jemgnWUw9iSzDU+lr9mfr3MRhtkuuABFA8s+uBdZG8EPRRfuTDfzOwc2IcngLdKkUqmN/p6R8XLwNfVJAcMHhg==" saltValue="6zV1Zk8k5dtjiR4OELxr/A==" spinCount="100000" sheet="1" objects="1" scenarios="1" selectLockedCells="1"/>
  <dataConsolidate/>
  <mergeCells count="29">
    <mergeCell ref="D52:T52"/>
    <mergeCell ref="D53:T53"/>
    <mergeCell ref="D58:T58"/>
    <mergeCell ref="D59:T59"/>
    <mergeCell ref="D55:T55"/>
    <mergeCell ref="D56:T56"/>
    <mergeCell ref="F3:T3"/>
    <mergeCell ref="E4:T6"/>
    <mergeCell ref="F10:J10"/>
    <mergeCell ref="F12:J12"/>
    <mergeCell ref="F18:J18"/>
    <mergeCell ref="D50:T50"/>
    <mergeCell ref="D46:T46"/>
    <mergeCell ref="D49:T49"/>
    <mergeCell ref="D47:T47"/>
    <mergeCell ref="E37:T38"/>
    <mergeCell ref="F44:J44"/>
    <mergeCell ref="D48:T48"/>
    <mergeCell ref="F34:J34"/>
    <mergeCell ref="F41:J41"/>
    <mergeCell ref="F43:J43"/>
    <mergeCell ref="R8:S8"/>
    <mergeCell ref="F13:J13"/>
    <mergeCell ref="F21:J21"/>
    <mergeCell ref="F20:J20"/>
    <mergeCell ref="F25:J25"/>
    <mergeCell ref="F27:J27"/>
    <mergeCell ref="F31:J31"/>
    <mergeCell ref="F33:J33"/>
  </mergeCells>
  <phoneticPr fontId="12" type="noConversion"/>
  <conditionalFormatting sqref="D47:T48 D50:T51 D49 D52:D57 D59">
    <cfRule type="containsText" dxfId="57" priority="21" operator="containsText" text="additional">
      <formula>NOT(ISERROR(SEARCH("additional",D47)))</formula>
    </cfRule>
    <cfRule type="containsText" dxfId="56" priority="22" operator="containsText" text="neutral">
      <formula>NOT(ISERROR(SEARCH("neutral",D47)))</formula>
    </cfRule>
  </conditionalFormatting>
  <conditionalFormatting sqref="D58">
    <cfRule type="containsText" dxfId="55" priority="1" operator="containsText" text="stage">
      <formula>NOT(ISERROR(SEARCH("stage",D58)))</formula>
    </cfRule>
    <cfRule type="containsText" dxfId="54" priority="2" operator="containsText" text="neutral">
      <formula>NOT(ISERROR(SEARCH("neutral",D58)))</formula>
    </cfRule>
  </conditionalFormatting>
  <pageMargins left="0.70866141732283472" right="0.70866141732283472" top="0.74803149606299213" bottom="0.74803149606299213" header="0.31496062992125984" footer="0.31496062992125984"/>
  <pageSetup paperSize="9" scale="68" orientation="landscape" horizontalDpi="360" verticalDpi="360" r:id="rId1"/>
  <headerFooter>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6C74D4F2-C010-4572-A253-08A85E7792B7}">
            <xm:f>ISNUMBER('Stage 1'!N46)</xm:f>
            <x14:dxf>
              <fill>
                <patternFill>
                  <bgColor rgb="FFDDEBF7"/>
                </patternFill>
              </fill>
            </x14:dxf>
          </x14:cfRule>
          <xm:sqref>R13:R15</xm:sqref>
        </x14:conditionalFormatting>
        <x14:conditionalFormatting xmlns:xm="http://schemas.microsoft.com/office/excel/2006/main">
          <x14:cfRule type="expression" priority="3" id="{E5DE4842-40C3-4CE8-9B46-1EAB96431FFE}">
            <xm:f>ISNUMBER('Stage 1'!N46)</xm:f>
            <x14:dxf>
              <fill>
                <patternFill>
                  <bgColor rgb="FFDDEBF7"/>
                </patternFill>
              </fill>
            </x14:dxf>
          </x14:cfRule>
          <xm:sqref>S13:S15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7" tint="0.79998168889431442"/>
    <pageSetUpPr fitToPage="1"/>
  </sheetPr>
  <dimension ref="A1:BA98"/>
  <sheetViews>
    <sheetView zoomScaleNormal="100" workbookViewId="0">
      <selection activeCell="K16" sqref="K16:M16"/>
    </sheetView>
  </sheetViews>
  <sheetFormatPr defaultRowHeight="12.5" zeroHeight="1" x14ac:dyDescent="0.25"/>
  <cols>
    <col min="2" max="3" width="0.81640625" customWidth="1"/>
    <col min="4" max="4" width="2.26953125" customWidth="1"/>
    <col min="5" max="5" width="11" customWidth="1"/>
    <col min="7" max="7" width="10" customWidth="1"/>
    <col min="8" max="8" width="10.26953125" customWidth="1"/>
    <col min="9" max="9" width="14" customWidth="1"/>
    <col min="10" max="10" width="13.54296875" customWidth="1"/>
    <col min="11" max="11" width="10" customWidth="1"/>
    <col min="12" max="12" width="2.26953125" customWidth="1"/>
    <col min="13" max="13" width="10" customWidth="1"/>
    <col min="14" max="14" width="12.08984375" customWidth="1"/>
    <col min="15" max="15" width="14.7265625" customWidth="1"/>
    <col min="16" max="16" width="10.54296875" customWidth="1"/>
    <col min="17" max="17" width="2.26953125" customWidth="1"/>
    <col min="18" max="18" width="10.1796875" customWidth="1"/>
    <col min="19" max="19" width="11.7265625" customWidth="1"/>
    <col min="20" max="20" width="5.453125" customWidth="1"/>
    <col min="21" max="21" width="0.81640625" customWidth="1"/>
    <col min="22" max="22" width="12.26953125" customWidth="1"/>
    <col min="24" max="24" width="25.54296875" customWidth="1"/>
    <col min="25" max="25" width="14.90625" customWidth="1"/>
    <col min="26" max="26" width="11.90625" customWidth="1"/>
    <col min="27" max="27" width="11.08984375" hidden="1" customWidth="1"/>
    <col min="28" max="28" width="19.90625" hidden="1" customWidth="1"/>
    <col min="29" max="29" width="2.08984375" customWidth="1"/>
    <col min="34" max="34" width="8.7265625" customWidth="1"/>
  </cols>
  <sheetData>
    <row r="1" spans="1:38" ht="8.5" customHeight="1" thickBot="1" x14ac:dyDescent="0.35">
      <c r="A1" s="418" t="s">
        <v>565</v>
      </c>
    </row>
    <row r="2" spans="1:38" ht="11.5" customHeight="1" x14ac:dyDescent="0.35">
      <c r="B2" s="49"/>
      <c r="C2" s="50"/>
      <c r="D2" s="348"/>
      <c r="E2" s="348"/>
      <c r="F2" s="348"/>
      <c r="G2" s="348"/>
      <c r="H2" s="348"/>
      <c r="I2" s="348"/>
      <c r="J2" s="348"/>
      <c r="K2" s="348"/>
      <c r="L2" s="348"/>
      <c r="M2" s="348"/>
      <c r="N2" s="348"/>
      <c r="O2" s="348"/>
      <c r="P2" s="348"/>
      <c r="Q2" s="348"/>
      <c r="R2" s="348"/>
      <c r="S2" s="348"/>
      <c r="T2" s="348"/>
      <c r="U2" s="349"/>
      <c r="V2" s="256"/>
      <c r="W2" s="256"/>
      <c r="X2" s="256"/>
      <c r="Y2" s="256"/>
      <c r="Z2" s="256"/>
      <c r="AA2" s="256"/>
      <c r="AB2" s="256"/>
      <c r="AC2" s="256"/>
      <c r="AD2" s="16"/>
    </row>
    <row r="3" spans="1:38" ht="28.5" customHeight="1" x14ac:dyDescent="0.35">
      <c r="B3" s="52"/>
      <c r="C3" s="75"/>
      <c r="D3" s="310"/>
      <c r="E3" s="218" t="s">
        <v>565</v>
      </c>
      <c r="F3" s="502" t="s">
        <v>433</v>
      </c>
      <c r="G3" s="502"/>
      <c r="H3" s="502"/>
      <c r="I3" s="502"/>
      <c r="J3" s="502"/>
      <c r="K3" s="502"/>
      <c r="L3" s="502"/>
      <c r="M3" s="502"/>
      <c r="N3" s="502"/>
      <c r="O3" s="502"/>
      <c r="P3" s="502"/>
      <c r="Q3" s="502"/>
      <c r="R3" s="502"/>
      <c r="S3" s="502"/>
      <c r="T3" s="502"/>
      <c r="U3" s="350"/>
      <c r="V3" s="351"/>
      <c r="W3" s="351"/>
      <c r="X3" s="351"/>
      <c r="Y3" s="351"/>
      <c r="Z3" s="351"/>
      <c r="AA3" s="351"/>
      <c r="AB3" s="351"/>
      <c r="AC3" s="351"/>
      <c r="AD3" s="16"/>
    </row>
    <row r="4" spans="1:38" ht="6.75" customHeight="1" x14ac:dyDescent="0.35">
      <c r="B4" s="52"/>
      <c r="C4" s="61"/>
      <c r="D4" s="311"/>
      <c r="E4" s="497" t="s">
        <v>610</v>
      </c>
      <c r="F4" s="497"/>
      <c r="G4" s="497"/>
      <c r="H4" s="497"/>
      <c r="I4" s="497"/>
      <c r="J4" s="497"/>
      <c r="K4" s="497"/>
      <c r="L4" s="497"/>
      <c r="M4" s="497"/>
      <c r="N4" s="497"/>
      <c r="O4" s="497"/>
      <c r="P4" s="497"/>
      <c r="Q4" s="497"/>
      <c r="R4" s="497"/>
      <c r="S4" s="497"/>
      <c r="T4" s="497"/>
      <c r="U4" s="350"/>
      <c r="V4" s="351"/>
      <c r="W4" s="351"/>
      <c r="X4" s="351"/>
      <c r="Y4" s="351"/>
      <c r="Z4" s="351"/>
      <c r="AA4" s="351"/>
      <c r="AB4" s="351"/>
      <c r="AC4" s="351"/>
      <c r="AD4" s="16"/>
    </row>
    <row r="5" spans="1:38" ht="6.75" customHeight="1" x14ac:dyDescent="0.35">
      <c r="B5" s="52"/>
      <c r="C5" s="61"/>
      <c r="D5" s="311"/>
      <c r="E5" s="497"/>
      <c r="F5" s="497"/>
      <c r="G5" s="497"/>
      <c r="H5" s="497"/>
      <c r="I5" s="497"/>
      <c r="J5" s="497"/>
      <c r="K5" s="497"/>
      <c r="L5" s="497"/>
      <c r="M5" s="497"/>
      <c r="N5" s="497"/>
      <c r="O5" s="497"/>
      <c r="P5" s="497"/>
      <c r="Q5" s="497"/>
      <c r="R5" s="497"/>
      <c r="S5" s="497"/>
      <c r="T5" s="497"/>
      <c r="U5" s="350"/>
      <c r="V5" s="351"/>
      <c r="W5" s="351"/>
      <c r="X5" s="351"/>
      <c r="Y5" s="351"/>
      <c r="Z5" s="351"/>
      <c r="AA5" s="351"/>
      <c r="AB5" s="351"/>
      <c r="AC5" s="351"/>
      <c r="AD5" s="16"/>
    </row>
    <row r="6" spans="1:38" ht="24.75" customHeight="1" x14ac:dyDescent="0.35">
      <c r="B6" s="52"/>
      <c r="C6" s="48"/>
      <c r="D6" s="250"/>
      <c r="E6" s="497"/>
      <c r="F6" s="497"/>
      <c r="G6" s="497"/>
      <c r="H6" s="497"/>
      <c r="I6" s="497"/>
      <c r="J6" s="497"/>
      <c r="K6" s="497"/>
      <c r="L6" s="497"/>
      <c r="M6" s="497"/>
      <c r="N6" s="497"/>
      <c r="O6" s="497"/>
      <c r="P6" s="497"/>
      <c r="Q6" s="497"/>
      <c r="R6" s="497"/>
      <c r="S6" s="497"/>
      <c r="T6" s="497"/>
      <c r="U6" s="350"/>
      <c r="V6" s="351"/>
      <c r="W6" s="351"/>
      <c r="X6" s="351"/>
      <c r="Y6" s="351"/>
      <c r="Z6" s="351"/>
      <c r="AA6" s="351"/>
      <c r="AB6" s="351"/>
      <c r="AC6" s="351"/>
      <c r="AD6" s="16"/>
    </row>
    <row r="7" spans="1:38" ht="21" customHeight="1" x14ac:dyDescent="0.35">
      <c r="B7" s="52"/>
      <c r="C7" s="48"/>
      <c r="D7" s="303"/>
      <c r="E7" s="312"/>
      <c r="F7" s="312"/>
      <c r="G7" s="312"/>
      <c r="H7" s="312"/>
      <c r="I7" s="312"/>
      <c r="J7" s="312"/>
      <c r="K7" s="312"/>
      <c r="L7" s="312"/>
      <c r="M7" s="312"/>
      <c r="N7" s="312"/>
      <c r="O7" s="312"/>
      <c r="P7" s="312"/>
      <c r="Q7" s="312"/>
      <c r="R7" s="312"/>
      <c r="S7" s="312"/>
      <c r="T7" s="312"/>
      <c r="U7" s="350"/>
      <c r="V7" s="351"/>
      <c r="W7" s="351"/>
      <c r="X7" s="351"/>
      <c r="Y7" s="351"/>
      <c r="Z7" s="351"/>
      <c r="AA7" s="351"/>
      <c r="AB7" s="351"/>
      <c r="AC7" s="351"/>
      <c r="AD7" s="16"/>
    </row>
    <row r="8" spans="1:38" ht="37.5" customHeight="1" x14ac:dyDescent="0.35">
      <c r="B8" s="52"/>
      <c r="C8" s="62"/>
      <c r="D8" s="250"/>
      <c r="E8" s="54" t="s">
        <v>5</v>
      </c>
      <c r="F8" s="447" t="s">
        <v>506</v>
      </c>
      <c r="G8" s="447"/>
      <c r="H8" s="447"/>
      <c r="I8" s="447"/>
      <c r="J8" s="447"/>
      <c r="K8" s="161" t="s">
        <v>2</v>
      </c>
      <c r="L8" s="161"/>
      <c r="M8" s="161" t="s">
        <v>3</v>
      </c>
      <c r="N8" s="249"/>
      <c r="O8" s="161"/>
      <c r="P8" s="161"/>
      <c r="Q8" s="161"/>
      <c r="R8" s="161"/>
      <c r="S8" s="161"/>
      <c r="T8" s="56"/>
      <c r="U8" s="350"/>
      <c r="V8" s="351"/>
      <c r="W8" s="351"/>
      <c r="X8" s="351"/>
      <c r="Y8" s="351"/>
      <c r="Z8" s="351"/>
      <c r="AA8" s="351"/>
      <c r="AB8" s="351"/>
      <c r="AC8" s="351"/>
      <c r="AD8" s="16"/>
    </row>
    <row r="9" spans="1:38" ht="4.5" customHeight="1" x14ac:dyDescent="0.35">
      <c r="B9" s="52"/>
      <c r="C9" s="48"/>
      <c r="D9" s="250"/>
      <c r="E9" s="56"/>
      <c r="F9" s="56"/>
      <c r="G9" s="56"/>
      <c r="H9" s="56"/>
      <c r="I9" s="56"/>
      <c r="J9" s="56"/>
      <c r="K9" s="56"/>
      <c r="L9" s="56"/>
      <c r="M9" s="56"/>
      <c r="N9" s="249"/>
      <c r="O9" s="56"/>
      <c r="P9" s="56"/>
      <c r="Q9" s="56"/>
      <c r="R9" s="56"/>
      <c r="S9" s="56"/>
      <c r="T9" s="56"/>
      <c r="U9" s="350"/>
      <c r="V9" s="351"/>
      <c r="W9" s="351"/>
      <c r="X9" s="351"/>
      <c r="Y9" s="351"/>
      <c r="Z9" s="351"/>
      <c r="AA9" s="351"/>
      <c r="AB9" s="351"/>
      <c r="AC9" s="351"/>
      <c r="AD9" s="16"/>
    </row>
    <row r="10" spans="1:38" ht="31" customHeight="1" x14ac:dyDescent="0.35">
      <c r="B10" s="52"/>
      <c r="C10" s="48"/>
      <c r="D10" s="250"/>
      <c r="E10" s="56"/>
      <c r="F10" s="44" t="s">
        <v>435</v>
      </c>
      <c r="G10" s="56"/>
      <c r="H10" s="56"/>
      <c r="I10" s="56"/>
      <c r="J10" s="56"/>
      <c r="K10" s="304">
        <f>IF('Stage 4'!K43&gt;0,'Stage 4'!K43,0)</f>
        <v>0</v>
      </c>
      <c r="L10" s="297"/>
      <c r="M10" s="272" t="s">
        <v>15</v>
      </c>
      <c r="N10" s="249"/>
      <c r="O10" s="272"/>
      <c r="P10" s="272"/>
      <c r="Q10" s="272"/>
      <c r="R10" s="272"/>
      <c r="S10" s="272"/>
      <c r="T10" s="56"/>
      <c r="U10" s="350"/>
      <c r="V10" s="351"/>
      <c r="W10" s="351"/>
      <c r="X10" s="351"/>
      <c r="Y10" s="351"/>
      <c r="Z10" s="351"/>
      <c r="AA10" s="351"/>
      <c r="AB10" s="351"/>
      <c r="AC10" s="351"/>
      <c r="AD10" s="16"/>
      <c r="AE10" s="16"/>
      <c r="AF10" s="16"/>
      <c r="AG10" s="16"/>
      <c r="AH10" s="16"/>
      <c r="AI10" s="16"/>
      <c r="AJ10" s="16"/>
      <c r="AK10" s="16"/>
      <c r="AL10" s="16"/>
    </row>
    <row r="11" spans="1:38" ht="23.5" customHeight="1" x14ac:dyDescent="0.35">
      <c r="B11" s="52"/>
      <c r="C11" s="48"/>
      <c r="D11" s="250"/>
      <c r="E11" s="56"/>
      <c r="F11" s="44" t="s">
        <v>434</v>
      </c>
      <c r="G11" s="56"/>
      <c r="H11" s="56"/>
      <c r="I11" s="56"/>
      <c r="J11" s="56"/>
      <c r="K11" s="304">
        <f>IF('Stage 4'!K44&gt;0,'Stage 4'!K44,0)</f>
        <v>0</v>
      </c>
      <c r="L11" s="297"/>
      <c r="M11" s="272" t="s">
        <v>15</v>
      </c>
      <c r="N11" s="249"/>
      <c r="O11" s="272"/>
      <c r="P11" s="272"/>
      <c r="Q11" s="272"/>
      <c r="R11" s="272"/>
      <c r="S11" s="272"/>
      <c r="T11" s="56"/>
      <c r="U11" s="350"/>
      <c r="V11" s="351"/>
      <c r="W11" s="351"/>
      <c r="X11" s="351"/>
      <c r="Y11" s="351"/>
      <c r="Z11" s="351"/>
      <c r="AA11" s="351"/>
      <c r="AB11" s="351"/>
      <c r="AC11" s="351"/>
      <c r="AD11" s="16"/>
      <c r="AE11" s="16"/>
      <c r="AF11" s="16"/>
      <c r="AG11" s="16"/>
      <c r="AH11" s="16"/>
      <c r="AI11" s="16"/>
      <c r="AJ11" s="16"/>
      <c r="AK11" s="16"/>
      <c r="AL11" s="16"/>
    </row>
    <row r="12" spans="1:38" ht="17.5" customHeight="1" thickBot="1" x14ac:dyDescent="0.4">
      <c r="B12" s="52"/>
      <c r="C12" s="48"/>
      <c r="D12" s="250"/>
      <c r="E12" s="56"/>
      <c r="F12" s="56"/>
      <c r="G12" s="56"/>
      <c r="H12" s="56"/>
      <c r="I12" s="56"/>
      <c r="J12" s="56"/>
      <c r="K12" s="56"/>
      <c r="L12" s="56"/>
      <c r="M12" s="56"/>
      <c r="N12" s="56"/>
      <c r="O12" s="56"/>
      <c r="P12" s="56"/>
      <c r="Q12" s="56"/>
      <c r="R12" s="274"/>
      <c r="S12" s="274"/>
      <c r="T12" s="274"/>
      <c r="U12" s="350"/>
      <c r="V12" s="352"/>
      <c r="W12" s="353"/>
      <c r="X12" s="353"/>
      <c r="Y12" s="353"/>
      <c r="Z12" s="353"/>
      <c r="AA12" s="353"/>
      <c r="AB12" s="353"/>
      <c r="AC12" s="353"/>
      <c r="AD12" s="16"/>
      <c r="AE12" s="16"/>
      <c r="AF12" s="16"/>
      <c r="AG12" s="16"/>
      <c r="AH12" s="16"/>
      <c r="AI12" s="16"/>
      <c r="AJ12" s="16"/>
      <c r="AK12" s="16"/>
      <c r="AL12" s="16"/>
    </row>
    <row r="13" spans="1:38" ht="7" customHeight="1" x14ac:dyDescent="0.35">
      <c r="B13" s="52"/>
      <c r="C13" s="48"/>
      <c r="D13" s="303"/>
      <c r="E13" s="286"/>
      <c r="F13" s="286"/>
      <c r="G13" s="286"/>
      <c r="H13" s="286"/>
      <c r="I13" s="286"/>
      <c r="J13" s="286"/>
      <c r="K13" s="286"/>
      <c r="L13" s="286"/>
      <c r="M13" s="286"/>
      <c r="N13" s="286"/>
      <c r="O13" s="286"/>
      <c r="P13" s="286"/>
      <c r="Q13" s="286"/>
      <c r="R13" s="56"/>
      <c r="S13" s="56"/>
      <c r="T13" s="56"/>
      <c r="U13" s="354"/>
      <c r="V13" s="355"/>
      <c r="W13" s="355"/>
      <c r="X13" s="355"/>
      <c r="Y13" s="355"/>
      <c r="Z13" s="355"/>
      <c r="AA13" s="355"/>
      <c r="AB13" s="355"/>
      <c r="AC13" s="356"/>
      <c r="AD13" s="14"/>
      <c r="AE13" s="16"/>
      <c r="AF13" s="16"/>
      <c r="AG13" s="16"/>
      <c r="AH13" s="16"/>
      <c r="AI13" s="16"/>
      <c r="AJ13" s="16"/>
      <c r="AK13" s="16"/>
      <c r="AL13" s="16"/>
    </row>
    <row r="14" spans="1:38" ht="16" customHeight="1" x14ac:dyDescent="0.35">
      <c r="B14" s="52"/>
      <c r="C14" s="48"/>
      <c r="D14" s="250"/>
      <c r="E14" s="54" t="s">
        <v>8</v>
      </c>
      <c r="F14" s="447" t="s">
        <v>65</v>
      </c>
      <c r="G14" s="447"/>
      <c r="H14" s="447"/>
      <c r="I14" s="447"/>
      <c r="J14" s="447"/>
      <c r="K14" s="262"/>
      <c r="L14" s="262"/>
      <c r="M14" s="262"/>
      <c r="N14" s="262"/>
      <c r="O14" s="262"/>
      <c r="P14" s="262"/>
      <c r="Q14" s="262"/>
      <c r="R14" s="262"/>
      <c r="S14" s="262"/>
      <c r="T14" s="262"/>
      <c r="U14" s="262"/>
      <c r="V14" s="262"/>
      <c r="W14" s="262"/>
      <c r="X14" s="262"/>
      <c r="Y14" s="262"/>
      <c r="Z14" s="262"/>
      <c r="AA14" s="262"/>
      <c r="AB14" s="262"/>
      <c r="AC14" s="357"/>
      <c r="AD14" s="14"/>
      <c r="AE14" s="16"/>
      <c r="AF14" s="16"/>
      <c r="AG14" s="16"/>
      <c r="AH14" s="16"/>
      <c r="AI14" s="16"/>
      <c r="AJ14" s="16"/>
      <c r="AK14" s="16"/>
      <c r="AL14" s="16"/>
    </row>
    <row r="15" spans="1:38" ht="10.5" customHeight="1" x14ac:dyDescent="0.35">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7"/>
      <c r="AD15" s="14"/>
      <c r="AE15" s="16"/>
      <c r="AF15" s="16"/>
      <c r="AG15" s="16"/>
      <c r="AH15" s="16"/>
      <c r="AI15" s="16"/>
      <c r="AJ15" s="16"/>
      <c r="AK15" s="16"/>
      <c r="AL15" s="16"/>
    </row>
    <row r="16" spans="1:38" ht="14.5" customHeight="1" x14ac:dyDescent="0.35">
      <c r="B16" s="52"/>
      <c r="C16" s="48"/>
      <c r="D16" s="250"/>
      <c r="E16" s="76" t="s">
        <v>58</v>
      </c>
      <c r="F16" s="56" t="s">
        <v>82</v>
      </c>
      <c r="G16" s="56"/>
      <c r="H16" s="56"/>
      <c r="I16" s="56"/>
      <c r="J16" s="56"/>
      <c r="K16" s="520" t="s">
        <v>62</v>
      </c>
      <c r="L16" s="520"/>
      <c r="M16" s="520"/>
      <c r="N16" s="76"/>
      <c r="O16" s="56"/>
      <c r="P16" s="285"/>
      <c r="Q16" s="56"/>
      <c r="R16" s="77" t="s">
        <v>59</v>
      </c>
      <c r="S16" s="77"/>
      <c r="T16" s="447" t="s">
        <v>83</v>
      </c>
      <c r="U16" s="447"/>
      <c r="V16" s="447"/>
      <c r="W16" s="447"/>
      <c r="X16" s="447"/>
      <c r="Y16" s="358" t="s">
        <v>62</v>
      </c>
      <c r="Z16" s="262"/>
      <c r="AA16" s="262"/>
      <c r="AB16" s="262"/>
      <c r="AC16" s="357"/>
      <c r="AD16" s="14"/>
      <c r="AE16" s="16"/>
      <c r="AF16" s="16"/>
      <c r="AG16" s="16"/>
      <c r="AH16" s="16"/>
      <c r="AI16" s="16"/>
      <c r="AJ16" s="16"/>
      <c r="AK16" s="16"/>
      <c r="AL16" s="16"/>
    </row>
    <row r="17" spans="2:53" ht="14.5" customHeight="1" x14ac:dyDescent="0.35">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7"/>
      <c r="AD17" s="14"/>
      <c r="AE17" s="16"/>
      <c r="AF17" s="16"/>
      <c r="AG17" s="16"/>
      <c r="AH17" s="16"/>
      <c r="AI17" s="16"/>
      <c r="AJ17" s="16"/>
      <c r="AK17" s="16"/>
      <c r="AL17" s="16"/>
    </row>
    <row r="18" spans="2:53" ht="45" customHeight="1" x14ac:dyDescent="0.35">
      <c r="B18" s="52"/>
      <c r="C18" s="48"/>
      <c r="D18" s="250"/>
      <c r="E18" s="519" t="s">
        <v>91</v>
      </c>
      <c r="F18" s="519"/>
      <c r="G18" s="519"/>
      <c r="H18" s="519"/>
      <c r="I18" s="519"/>
      <c r="J18" s="519"/>
      <c r="K18" s="519"/>
      <c r="L18" s="519"/>
      <c r="M18" s="519"/>
      <c r="N18" s="519"/>
      <c r="O18" s="519"/>
      <c r="P18" s="285"/>
      <c r="Q18" s="56"/>
      <c r="R18" s="56"/>
      <c r="S18" s="56"/>
      <c r="T18" s="521" t="s">
        <v>88</v>
      </c>
      <c r="U18" s="521"/>
      <c r="V18" s="521"/>
      <c r="W18" s="521"/>
      <c r="X18" s="521"/>
      <c r="Y18" s="521"/>
      <c r="Z18" s="521"/>
      <c r="AA18" s="359"/>
      <c r="AB18" s="359"/>
      <c r="AC18" s="357"/>
      <c r="AD18" s="14"/>
      <c r="AE18" s="16"/>
      <c r="AF18" s="16"/>
      <c r="AG18" s="16"/>
      <c r="AH18" s="16"/>
      <c r="AI18" s="16"/>
      <c r="AJ18" s="16"/>
      <c r="AK18" s="16"/>
      <c r="AL18" s="16"/>
    </row>
    <row r="19" spans="2:53" ht="14.5" customHeight="1" x14ac:dyDescent="0.35">
      <c r="B19" s="52"/>
      <c r="C19" s="48"/>
      <c r="D19" s="250"/>
      <c r="E19" s="56"/>
      <c r="F19" s="56"/>
      <c r="G19" s="56"/>
      <c r="H19" s="56"/>
      <c r="I19" s="56"/>
      <c r="J19" s="56"/>
      <c r="K19" s="56"/>
      <c r="L19" s="56"/>
      <c r="M19" s="56"/>
      <c r="N19" s="56"/>
      <c r="O19" s="56"/>
      <c r="P19" s="285"/>
      <c r="Q19" s="56"/>
      <c r="R19" s="56"/>
      <c r="S19" s="56"/>
      <c r="T19" s="447" t="s">
        <v>87</v>
      </c>
      <c r="U19" s="447"/>
      <c r="V19" s="447"/>
      <c r="W19" s="447"/>
      <c r="X19" s="447"/>
      <c r="Y19" s="447"/>
      <c r="Z19" s="447"/>
      <c r="AA19" s="262"/>
      <c r="AB19" s="262"/>
      <c r="AC19" s="357"/>
      <c r="AD19" s="14"/>
      <c r="AE19" s="16"/>
      <c r="AF19" s="16"/>
      <c r="AG19" s="16"/>
      <c r="AH19" s="16"/>
      <c r="AI19" s="16"/>
      <c r="AJ19" s="16"/>
      <c r="AK19" s="16"/>
      <c r="AL19" s="16"/>
    </row>
    <row r="20" spans="2:53" ht="16" customHeight="1" x14ac:dyDescent="0.35">
      <c r="B20" s="52"/>
      <c r="C20" s="48"/>
      <c r="D20" s="250"/>
      <c r="E20" s="76"/>
      <c r="F20" s="496" t="s">
        <v>137</v>
      </c>
      <c r="G20" s="496"/>
      <c r="H20" s="496"/>
      <c r="I20" s="496"/>
      <c r="J20" s="496"/>
      <c r="K20" s="161" t="s">
        <v>2</v>
      </c>
      <c r="L20" s="161"/>
      <c r="M20" s="161"/>
      <c r="N20" s="76"/>
      <c r="O20" s="161" t="s">
        <v>3</v>
      </c>
      <c r="P20" s="285"/>
      <c r="Q20" s="56"/>
      <c r="R20" s="56"/>
      <c r="S20" s="56"/>
      <c r="T20" s="249"/>
      <c r="U20" s="249"/>
      <c r="V20" s="249"/>
      <c r="W20" s="249"/>
      <c r="X20" s="249"/>
      <c r="Y20" s="249"/>
      <c r="Z20" s="249"/>
      <c r="AA20" s="159"/>
      <c r="AB20" s="159"/>
      <c r="AC20" s="357"/>
      <c r="AD20" s="14"/>
      <c r="AE20" s="16"/>
      <c r="AF20" s="16"/>
      <c r="AG20" s="16"/>
      <c r="AH20" s="16"/>
      <c r="AI20" s="16"/>
      <c r="AJ20" s="16"/>
      <c r="AK20" s="16"/>
      <c r="AL20" s="16"/>
    </row>
    <row r="21" spans="2:53" ht="13.5" customHeight="1" x14ac:dyDescent="0.35">
      <c r="B21" s="52"/>
      <c r="C21" s="48"/>
      <c r="D21" s="250"/>
      <c r="E21" s="56"/>
      <c r="F21" s="56"/>
      <c r="G21" s="56"/>
      <c r="H21" s="56"/>
      <c r="I21" s="56"/>
      <c r="J21" s="56"/>
      <c r="K21" s="161" t="s">
        <v>436</v>
      </c>
      <c r="L21" s="161"/>
      <c r="M21" s="161" t="s">
        <v>437</v>
      </c>
      <c r="N21" s="262"/>
      <c r="O21" s="56"/>
      <c r="P21" s="285"/>
      <c r="Q21" s="56"/>
      <c r="R21" s="56"/>
      <c r="S21" s="56"/>
      <c r="T21" s="447" t="s">
        <v>380</v>
      </c>
      <c r="U21" s="447"/>
      <c r="V21" s="447"/>
      <c r="W21" s="447"/>
      <c r="X21" s="447"/>
      <c r="Y21" s="263" t="s">
        <v>385</v>
      </c>
      <c r="Z21" s="262"/>
      <c r="AA21" s="262"/>
      <c r="AB21" s="262"/>
      <c r="AC21" s="357"/>
      <c r="AD21" s="14"/>
      <c r="AE21" s="16"/>
      <c r="AF21" s="16"/>
      <c r="AG21" s="16"/>
      <c r="AH21" s="16"/>
      <c r="AI21" s="16"/>
      <c r="AJ21" s="16"/>
      <c r="AK21" s="16"/>
      <c r="AL21" s="16"/>
    </row>
    <row r="22" spans="2:53" ht="54.5" customHeight="1" x14ac:dyDescent="0.35">
      <c r="B22" s="52"/>
      <c r="C22" s="48"/>
      <c r="D22" s="250"/>
      <c r="E22" s="56"/>
      <c r="F22" s="495" t="s">
        <v>85</v>
      </c>
      <c r="G22" s="495"/>
      <c r="H22" s="495"/>
      <c r="I22" s="495"/>
      <c r="J22" s="495"/>
      <c r="K22" s="304" t="e">
        <f>'Stage 2'!K46/'Stage 2'!K41</f>
        <v>#DIV/0!</v>
      </c>
      <c r="L22" s="297"/>
      <c r="M22" s="304" t="e">
        <f>'Stage 2'!K48/'Stage 2'!K41</f>
        <v>#DIV/0!</v>
      </c>
      <c r="N22" s="358" t="s">
        <v>62</v>
      </c>
      <c r="O22" s="272" t="s">
        <v>81</v>
      </c>
      <c r="P22" s="285"/>
      <c r="Q22" s="56"/>
      <c r="R22" s="54"/>
      <c r="S22" s="54"/>
      <c r="T22" s="447" t="s">
        <v>379</v>
      </c>
      <c r="U22" s="447"/>
      <c r="V22" s="447"/>
      <c r="W22" s="447"/>
      <c r="X22" s="447"/>
      <c r="Y22" s="284" t="s">
        <v>384</v>
      </c>
      <c r="Z22" s="56"/>
      <c r="AA22" s="159"/>
      <c r="AB22" s="159"/>
      <c r="AC22" s="357"/>
      <c r="AD22" s="14"/>
      <c r="AE22" s="16"/>
      <c r="AF22" s="16"/>
      <c r="AG22" s="16"/>
      <c r="AH22" s="16"/>
      <c r="AI22" s="16"/>
      <c r="AJ22" s="16"/>
      <c r="AK22" s="16"/>
      <c r="AL22" s="16"/>
    </row>
    <row r="23" spans="2:53" ht="16" customHeight="1" x14ac:dyDescent="0.35">
      <c r="B23" s="52"/>
      <c r="C23" s="48"/>
      <c r="D23" s="250"/>
      <c r="E23" s="56"/>
      <c r="F23" s="163"/>
      <c r="G23" s="163"/>
      <c r="H23" s="163"/>
      <c r="I23" s="163"/>
      <c r="J23" s="163"/>
      <c r="K23" s="297"/>
      <c r="L23" s="297"/>
      <c r="M23" s="297"/>
      <c r="N23" s="360"/>
      <c r="O23" s="272"/>
      <c r="P23" s="285"/>
      <c r="Q23" s="56"/>
      <c r="R23" s="54"/>
      <c r="S23" s="54"/>
      <c r="T23" s="447" t="s">
        <v>383</v>
      </c>
      <c r="U23" s="447"/>
      <c r="V23" s="447"/>
      <c r="W23" s="447"/>
      <c r="X23" s="447"/>
      <c r="Y23" s="263" t="s">
        <v>476</v>
      </c>
      <c r="Z23" s="159"/>
      <c r="AA23" s="159"/>
      <c r="AB23" s="159"/>
      <c r="AC23" s="357"/>
      <c r="AD23" s="14"/>
      <c r="AE23" s="16"/>
      <c r="AF23" s="16"/>
      <c r="AG23" s="16"/>
      <c r="AH23" s="16"/>
      <c r="AI23" s="16"/>
      <c r="AJ23" s="16"/>
      <c r="AK23" s="16"/>
      <c r="AL23" s="16"/>
    </row>
    <row r="24" spans="2:53" ht="16" customHeight="1" x14ac:dyDescent="0.35">
      <c r="B24" s="52"/>
      <c r="C24" s="48"/>
      <c r="D24" s="250"/>
      <c r="E24" s="56"/>
      <c r="F24" s="163"/>
      <c r="G24" s="163"/>
      <c r="H24" s="163"/>
      <c r="I24" s="163"/>
      <c r="J24" s="163"/>
      <c r="K24" s="297"/>
      <c r="L24" s="297"/>
      <c r="M24" s="297"/>
      <c r="N24" s="360"/>
      <c r="O24" s="272"/>
      <c r="P24" s="285"/>
      <c r="Q24" s="56"/>
      <c r="R24" s="54"/>
      <c r="S24" s="54"/>
      <c r="T24" s="447" t="s">
        <v>381</v>
      </c>
      <c r="U24" s="447"/>
      <c r="V24" s="447"/>
      <c r="W24" s="447"/>
      <c r="X24" s="447"/>
      <c r="Y24" s="263" t="s">
        <v>13</v>
      </c>
      <c r="Z24" s="159"/>
      <c r="AA24" s="159"/>
      <c r="AB24" s="159"/>
      <c r="AC24" s="357"/>
      <c r="AD24" s="14"/>
      <c r="AE24" s="16"/>
      <c r="AF24" s="16"/>
      <c r="AG24" s="16"/>
      <c r="AH24" s="16"/>
      <c r="AI24" s="16"/>
      <c r="AJ24" s="16"/>
      <c r="AK24" s="16"/>
      <c r="AL24" s="16"/>
    </row>
    <row r="25" spans="2:53" ht="20" customHeight="1" x14ac:dyDescent="0.35">
      <c r="B25" s="52"/>
      <c r="C25" s="48"/>
      <c r="D25" s="250"/>
      <c r="E25" s="56"/>
      <c r="F25" s="44"/>
      <c r="G25" s="56"/>
      <c r="H25" s="56"/>
      <c r="I25" s="56"/>
      <c r="J25" s="56"/>
      <c r="K25" s="297"/>
      <c r="L25" s="297"/>
      <c r="M25" s="297"/>
      <c r="N25" s="361"/>
      <c r="O25" s="272"/>
      <c r="P25" s="285"/>
      <c r="Q25" s="56"/>
      <c r="R25" s="522"/>
      <c r="S25" s="522"/>
      <c r="T25" s="522"/>
      <c r="U25" s="522"/>
      <c r="V25" s="522"/>
      <c r="W25" s="522"/>
      <c r="X25" s="522"/>
      <c r="Y25" s="522"/>
      <c r="Z25" s="522"/>
      <c r="AA25" s="522"/>
      <c r="AB25" s="522"/>
      <c r="AC25" s="523"/>
      <c r="AD25" s="14"/>
      <c r="AE25" s="16"/>
      <c r="AF25" s="16"/>
      <c r="AG25" s="16"/>
      <c r="AH25" s="16"/>
      <c r="AI25" s="16"/>
      <c r="AJ25" s="16"/>
      <c r="AK25" s="16"/>
      <c r="AL25" s="16"/>
    </row>
    <row r="26" spans="2:53" ht="24" customHeight="1" x14ac:dyDescent="0.35">
      <c r="B26" s="52"/>
      <c r="C26" s="48"/>
      <c r="D26" s="250"/>
      <c r="E26" s="56"/>
      <c r="F26" s="495" t="s">
        <v>84</v>
      </c>
      <c r="G26" s="495"/>
      <c r="H26" s="495"/>
      <c r="I26" s="495"/>
      <c r="J26" s="495"/>
      <c r="K26" s="161" t="s">
        <v>436</v>
      </c>
      <c r="L26" s="161"/>
      <c r="M26" s="161" t="s">
        <v>437</v>
      </c>
      <c r="N26" s="362"/>
      <c r="O26" s="272"/>
      <c r="P26" s="285"/>
      <c r="Q26" s="56"/>
      <c r="R26" s="262"/>
      <c r="S26" s="262"/>
      <c r="T26" s="495" t="s">
        <v>86</v>
      </c>
      <c r="U26" s="495"/>
      <c r="V26" s="495"/>
      <c r="W26" s="495"/>
      <c r="X26" s="495"/>
      <c r="Y26" s="262"/>
      <c r="Z26" s="262"/>
      <c r="AA26" s="313" t="s">
        <v>396</v>
      </c>
      <c r="AB26" s="313" t="s">
        <v>397</v>
      </c>
      <c r="AC26" s="357"/>
      <c r="AD26" s="14"/>
      <c r="AE26" s="16"/>
      <c r="AG26" s="16"/>
      <c r="AI26" s="16"/>
      <c r="AK26" s="16"/>
      <c r="AO26" s="16"/>
      <c r="AP26" s="128"/>
      <c r="AQ26" s="16"/>
    </row>
    <row r="27" spans="2:53" ht="16" customHeight="1" x14ac:dyDescent="0.35">
      <c r="B27" s="52"/>
      <c r="C27" s="48"/>
      <c r="D27" s="250"/>
      <c r="E27" s="518" t="str">
        <f>'Stage 2'!F22</f>
        <v>High density residential</v>
      </c>
      <c r="F27" s="518"/>
      <c r="G27" s="518"/>
      <c r="H27" s="518"/>
      <c r="I27" s="518"/>
      <c r="J27" s="56"/>
      <c r="K27" s="363" t="str">
        <f>IF('Stage 2'!$K22&gt;0,'Stage 2'!O22/'Stage 2'!$K22,"")</f>
        <v/>
      </c>
      <c r="L27" s="297"/>
      <c r="M27" s="304" t="str">
        <f>IF('Stage 2'!$K22&gt;0,'Stage 2'!Q22/'Stage 2'!$K22,"")</f>
        <v/>
      </c>
      <c r="N27" s="358" t="s">
        <v>62</v>
      </c>
      <c r="O27" s="265" t="s">
        <v>81</v>
      </c>
      <c r="P27" s="285"/>
      <c r="Q27" s="56"/>
      <c r="R27" s="262"/>
      <c r="S27" s="262"/>
      <c r="T27" s="518" t="str">
        <f t="shared" ref="T27:T44" si="0">E27</f>
        <v>High density residential</v>
      </c>
      <c r="U27" s="518"/>
      <c r="V27" s="518"/>
      <c r="W27" s="518"/>
      <c r="X27" s="518"/>
      <c r="Y27" s="358" t="s">
        <v>62</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7"/>
      <c r="AD27" s="14"/>
      <c r="AO27" s="128"/>
      <c r="AP27" s="16"/>
      <c r="AQ27" s="128"/>
    </row>
    <row r="28" spans="2:53" ht="16" customHeight="1" x14ac:dyDescent="0.35">
      <c r="B28" s="52"/>
      <c r="C28" s="48"/>
      <c r="D28" s="250"/>
      <c r="E28" s="518" t="str">
        <f>'Stage 2'!F23</f>
        <v>Medium density residential</v>
      </c>
      <c r="F28" s="518"/>
      <c r="G28" s="518"/>
      <c r="H28" s="518"/>
      <c r="I28" s="518"/>
      <c r="J28" s="56"/>
      <c r="K28" s="363" t="str">
        <f>IF('Stage 2'!$K23&gt;0,'Stage 2'!O23/'Stage 2'!$K23,"")</f>
        <v/>
      </c>
      <c r="L28" s="297"/>
      <c r="M28" s="304" t="str">
        <f>IF('Stage 2'!$K23&gt;0,'Stage 2'!Q23/'Stage 2'!$K23,"")</f>
        <v/>
      </c>
      <c r="N28" s="358" t="s">
        <v>62</v>
      </c>
      <c r="O28" s="265" t="s">
        <v>81</v>
      </c>
      <c r="P28" s="285"/>
      <c r="Q28" s="56"/>
      <c r="R28" s="262"/>
      <c r="S28" s="262"/>
      <c r="T28" s="518" t="str">
        <f t="shared" si="0"/>
        <v>Medium density residential</v>
      </c>
      <c r="U28" s="518"/>
      <c r="V28" s="518"/>
      <c r="W28" s="518"/>
      <c r="X28" s="518"/>
      <c r="Y28" s="358" t="s">
        <v>62</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7"/>
      <c r="AD28" s="14"/>
      <c r="AG28" s="16"/>
      <c r="AH28" s="16"/>
      <c r="AI28" s="16"/>
      <c r="AJ28" s="16"/>
      <c r="AK28" s="16"/>
      <c r="AL28" s="16"/>
      <c r="AO28" s="16"/>
      <c r="AP28" s="16"/>
      <c r="AQ28" s="16"/>
    </row>
    <row r="29" spans="2:53" ht="16" customHeight="1" x14ac:dyDescent="0.35">
      <c r="B29" s="52"/>
      <c r="C29" s="48"/>
      <c r="D29" s="250"/>
      <c r="E29" s="518" t="str">
        <f>'Stage 2'!F24</f>
        <v>Low density residential</v>
      </c>
      <c r="F29" s="518"/>
      <c r="G29" s="518"/>
      <c r="H29" s="518"/>
      <c r="I29" s="518"/>
      <c r="J29" s="56"/>
      <c r="K29" s="363" t="str">
        <f>IF('Stage 2'!$K24&gt;0,'Stage 2'!O24/'Stage 2'!$K24,"")</f>
        <v/>
      </c>
      <c r="L29" s="297"/>
      <c r="M29" s="304" t="str">
        <f>IF('Stage 2'!$K24&gt;0,'Stage 2'!Q24/'Stage 2'!$K24,"")</f>
        <v/>
      </c>
      <c r="N29" s="358" t="s">
        <v>62</v>
      </c>
      <c r="O29" s="265" t="s">
        <v>81</v>
      </c>
      <c r="P29" s="285"/>
      <c r="Q29" s="56"/>
      <c r="R29" s="262"/>
      <c r="S29" s="262"/>
      <c r="T29" s="518" t="str">
        <f t="shared" si="0"/>
        <v>Low density residential</v>
      </c>
      <c r="U29" s="518"/>
      <c r="V29" s="518"/>
      <c r="W29" s="518"/>
      <c r="X29" s="518"/>
      <c r="Y29" s="358" t="s">
        <v>62</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7"/>
      <c r="AD29" s="14"/>
      <c r="AG29" s="16"/>
      <c r="AH29" s="16"/>
      <c r="AI29" s="16"/>
      <c r="AJ29" s="16"/>
      <c r="AK29" s="16"/>
      <c r="AL29" s="16"/>
      <c r="AO29" s="16"/>
      <c r="AP29" s="16"/>
      <c r="AQ29" s="16"/>
    </row>
    <row r="30" spans="2:53" ht="16" customHeight="1" x14ac:dyDescent="0.35">
      <c r="B30" s="52"/>
      <c r="C30" s="48"/>
      <c r="D30" s="250"/>
      <c r="E30" s="518" t="str">
        <f>'Stage 2'!F25</f>
        <v>Commercial / Industrial</v>
      </c>
      <c r="F30" s="518"/>
      <c r="G30" s="518"/>
      <c r="H30" s="518"/>
      <c r="I30" s="518"/>
      <c r="J30" s="56"/>
      <c r="K30" s="363" t="str">
        <f>IF('Stage 2'!$K25&gt;0,'Stage 2'!O25/'Stage 2'!$K25,"")</f>
        <v/>
      </c>
      <c r="L30" s="297"/>
      <c r="M30" s="304" t="str">
        <f>IF('Stage 2'!$K25&gt;0,'Stage 2'!Q25/'Stage 2'!$K25,"")</f>
        <v/>
      </c>
      <c r="N30" s="358" t="s">
        <v>62</v>
      </c>
      <c r="O30" s="265" t="s">
        <v>81</v>
      </c>
      <c r="P30" s="285"/>
      <c r="Q30" s="56"/>
      <c r="R30" s="262"/>
      <c r="S30" s="262"/>
      <c r="T30" s="518" t="str">
        <f t="shared" si="0"/>
        <v>Commercial / Industrial</v>
      </c>
      <c r="U30" s="518"/>
      <c r="V30" s="518"/>
      <c r="W30" s="518"/>
      <c r="X30" s="518"/>
      <c r="Y30" s="358" t="s">
        <v>62</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7"/>
      <c r="AD30" s="14"/>
      <c r="AG30" s="16"/>
      <c r="AH30" s="16"/>
      <c r="AI30" s="16"/>
      <c r="AJ30" s="16"/>
      <c r="AK30" s="16"/>
      <c r="AL30" s="16"/>
    </row>
    <row r="31" spans="2:53" ht="16" customHeight="1" x14ac:dyDescent="0.35">
      <c r="B31" s="52"/>
      <c r="C31" s="48"/>
      <c r="D31" s="250"/>
      <c r="E31" s="518" t="str">
        <f>'Stage 2'!F26</f>
        <v>Urban open space</v>
      </c>
      <c r="F31" s="518"/>
      <c r="G31" s="518"/>
      <c r="H31" s="518"/>
      <c r="I31" s="518"/>
      <c r="J31" s="56"/>
      <c r="K31" s="363" t="str">
        <f>IF('Stage 2'!$K26&gt;0,'Stage 2'!O26/'Stage 2'!$K26,"")</f>
        <v/>
      </c>
      <c r="L31" s="297"/>
      <c r="M31" s="304" t="str">
        <f>IF('Stage 2'!$K26&gt;0,'Stage 2'!Q26/'Stage 2'!$K26,"")</f>
        <v/>
      </c>
      <c r="N31" s="358" t="s">
        <v>62</v>
      </c>
      <c r="O31" s="265" t="s">
        <v>81</v>
      </c>
      <c r="P31" s="285"/>
      <c r="Q31" s="56"/>
      <c r="R31" s="262"/>
      <c r="S31" s="262"/>
      <c r="T31" s="518" t="str">
        <f t="shared" si="0"/>
        <v>Urban open space</v>
      </c>
      <c r="U31" s="518"/>
      <c r="V31" s="518"/>
      <c r="W31" s="518"/>
      <c r="X31" s="518"/>
      <c r="Y31" s="358" t="s">
        <v>62</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7"/>
      <c r="AD31" s="14"/>
      <c r="AG31" s="16"/>
      <c r="AH31" s="16"/>
      <c r="AI31" s="16"/>
      <c r="AJ31" s="16"/>
      <c r="AK31" s="16"/>
      <c r="AL31" s="16"/>
    </row>
    <row r="32" spans="2:53" ht="16" customHeight="1" x14ac:dyDescent="0.35">
      <c r="B32" s="52"/>
      <c r="C32" s="48"/>
      <c r="D32" s="250"/>
      <c r="E32" s="518" t="str">
        <f>'Stage 2'!F27</f>
        <v>Dairy</v>
      </c>
      <c r="F32" s="518"/>
      <c r="G32" s="518"/>
      <c r="H32" s="518"/>
      <c r="I32" s="518"/>
      <c r="J32" s="56"/>
      <c r="K32" s="363" t="str">
        <f>IF('Stage 2'!$K27&gt;0,'Stage 2'!O27/'Stage 2'!$K27,"")</f>
        <v/>
      </c>
      <c r="L32" s="364"/>
      <c r="M32" s="304" t="str">
        <f>IF('Stage 2'!$K27&gt;0,'Stage 2'!Q27/'Stage 2'!$K27,"")</f>
        <v/>
      </c>
      <c r="N32" s="358" t="s">
        <v>62</v>
      </c>
      <c r="O32" s="265" t="s">
        <v>81</v>
      </c>
      <c r="P32" s="285"/>
      <c r="Q32" s="56"/>
      <c r="R32" s="262"/>
      <c r="S32" s="262"/>
      <c r="T32" s="518" t="str">
        <f t="shared" si="0"/>
        <v>Dairy</v>
      </c>
      <c r="U32" s="518"/>
      <c r="V32" s="518"/>
      <c r="W32" s="518"/>
      <c r="X32" s="518"/>
      <c r="Y32" s="358" t="s">
        <v>62</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Tables'!AM5,'Data Tables'!AN5),IF($Y$23="575-600",IF($Y$24="Yes",'Data Tables'!AM5,'Data Tables'!AN5),IF($Y$23="600-625",IF($Y$24="Yes",'Data Tables'!AM5,'Data Tables'!AN5),IF($Y$23="625-650",IF($Y$24="Yes",'Data Tables'!AM5,'Data Tables'!AN5),IF($Y$23="650-675",IF($Y$24="Yes",'Data Tables'!AM5,'Data Tables'!AN5),IF($Y$23="675-700",IF($Y$24="Yes",'Data Tables'!AM5,'Data Tables'!AN5),IF($Y$23="700-750",IF($Y$24="Yes",'Data Tables'!AS5,'Data Tables'!AT5),IF($Y$23="750-800",IF($Y$24="Yes",'Data Tables'!AS5,'Data Tables'!AT5),IF($Y$23="800-850",IF($Y$24="Yes",'Data Tables'!AS5,'Data Tables'!AT5),IF($Y$24="Yes",'Data Tables'!AS5,'Data Tables'!AT5)))))))))),IF($Y$22="Impermeable - drained for arable",IF($Y$23="550-575",IF($Y$24="Yes",'Data Tables'!AO5,'Data Tables'!AP5),IF($Y$23="575-600",IF($Y$24="Yes",'Data Tables'!AO5,'Data Tables'!AP5),IF($Y$23="600-625",IF($Y$24="Yes",'Data Tables'!AO5,'Data Tables'!AP5),IF($Y$23="625-650",IF($Y$24="Yes",'Data Tables'!AO5,'Data Tables'!AP5),IF($Y$23="650-675",IF($Y$24="Yes",'Data Tables'!AO5,'Data Tables'!AP5),IF($Y$23="675-700",IF($Y$24="Yes",'Data Tables'!AO5,'Data Tables'!AP5),IF($Y$23="700-750",IF($Y$24="Yes",'Data Tables'!AU5,'Data Tables'!AV5),IF($Y$23="750-800",IF($Y$24="Yes",'Data Tables'!AU5,'Data Tables'!AV5),IF($Y$23="800-850",IF($Y$24="Yes",'Data Tables'!AU5,'Data Tables'!AV5),IF($Y$24="Yes",'Data Tables'!AU5,'Data Tables'!AV5)))))))))),IF($Y$23="550-575",IF($Y$24="Yes",'Data Tables'!AQ5,'Data Tables'!AR5),IF($Y$23="575-600",IF($Y$24="Yes",'Data Tables'!AQ5,'Data Tables'!AR5),IF($Y$23="600-625",IF($Y$24="Yes",'Data Tables'!AQ5,'Data Tables'!AR5),IF($Y$23="625-650",IF($Y$24="Yes",'Data Tables'!AQ5,'Data Tables'!AR5),IF($Y$23="650-675",IF($Y$24="Yes",'Data Tables'!AQ5,'Data Tables'!AR5),IF($Y$23="675-700",IF($Y$24="Yes",'Data Tables'!AQ5,'Data Tables'!AR5),IF($Y$23="700-750",IF($Y$24="Yes",'Data Tables'!AW5,'Data Tables'!AX5),IF($Y$23="750-800",IF($Y$24="Yes",'Data Tables'!AW5,'Data Tables'!AX5),IF($Y$23="800-850",IF($Y$24="Yes",'Data Tables'!AW5,'Data Tables'!AX5),IF($Y$24="Yes",'Data Tables'!AW5,'Data Tables'!AX5))))))))))))),IF($Y$21="Yare",(IF($Y$22="Freely draining",IF($Y$23="550-575",IF($Y$24="Yes",'Data Tables'!AM16,'Data Tables'!AN16),IF($Y$23="575-600",IF($Y$24="Yes",'Data Tables'!AM16,'Data Tables'!AN16),IF($Y$23="600-625",IF($Y$24="Yes",'Data Tables'!AM16,'Data Tables'!AN16),IF($Y$23="625-650",IF($Y$24="Yes",'Data Tables'!AM16,'Data Tables'!AN16),IF($Y$23="650-675",IF($Y$24="Yes",'Data Tables'!AM16,'Data Tables'!AN16),IF($Y$23="675-700",IF($Y$24="Yes",'Data Tables'!AM16,'Data Tables'!AN16),IF($Y$23="700-750",IF($Y$24="Yes",'Data Tables'!AS16,'Data Tables'!AT16),IF($Y$23="750-800",IF($Y$24="Yes",'Data Tables'!AS16,'Data Tables'!AT16),IF($Y$23="800-850",IF($Y$24="Yes",'Data Tables'!AS16,'Data Tables'!AT16),IF($Y$24="Yes",'Data Tables'!AS16,'Data Tables'!AT16)))))))))),IF($Y$22="Impermeable - drained for arable",IF($Y$23="550-575",IF($Y$24="Yes",'Data Tables'!AO16,'Data Tables'!AP16),IF($Y$23="575-600",IF($Y$24="Yes",'Data Tables'!AO16,'Data Tables'!AP16),IF($Y$23="600-625",IF($Y$24="Yes",'Data Tables'!AO16,'Data Tables'!AP16),IF($Y$23="625-650",IF($Y$24="Yes",'Data Tables'!AO16,'Data Tables'!AP16),IF($Y$23="650-675",IF($Y$24="Yes",'Data Tables'!AO16,'Data Tables'!AP16),IF($Y$23="675-700",IF($Y$24="Yes",'Data Tables'!AO16,'Data Tables'!AP16),IF($Y$23="700-750",IF($Y$24="Yes",'Data Tables'!AU16,'Data Tables'!AV16),IF($Y$23="750-800",IF($Y$24="Yes",'Data Tables'!AU16,'Data Tables'!AV16),IF($Y$23="800-850",IF($Y$24="Yes",'Data Tables'!AU16,'Data Tables'!AV16),IF($Y$24="Yes",'Data Tables'!AU16,'Data Tables'!AV16)))))))))),IF($Y$23="550-575",IF($Y$24="Yes",'Data Tables'!AQ16,'Data Tables'!AR16),IF($Y$23="575-600",IF($Y$24="Yes",'Data Tables'!AQ16,'Data Tables'!AR16),IF($Y$23="600-625",IF($Y$24="Yes",'Data Tables'!AQ16,'Data Tables'!AR16),IF($Y$23="625-650",IF($Y$24="Yes",'Data Tables'!AQ16,'Data Tables'!AR16),IF($Y$23="650-675",IF($Y$24="Yes",'Data Tables'!AQ16,'Data Tables'!AR16),IF($Y$23="675-700",IF($Y$24="Yes",'Data Tables'!AQ16,'Data Tables'!AR16),IF($Y$23="700-750",IF($Y$24="Yes",'Data Tables'!AW16,'Data Tables'!AX16),IF($Y$23="750-800",IF($Y$24="Yes",'Data Tables'!AW16,'Data Tables'!AX16),IF($Y$23="800-850",IF($Y$24="Yes",'Data Tables'!AW16,'Data Tables'!AX16),IF($Y$24="Yes",'Data Tables'!AW16,'Data Tables'!AX16))))))))))))),(IF($Y$22="Freely draining",IF($Y$23="550-575",IF($Y$24="Yes",'Data Tables'!AG27,'Data Tables'!AH27),IF($Y$23="575-600",IF($Y$24="Yes",'Data Tables'!AG27,'Data Tables'!AH27),IF($Y$23="600-625",IF($Y$24="Yes",'Data Tables'!AM27,'Data Tables'!AN27),IF($Y$23="625-650",IF($Y$24="Yes",'Data Tables'!AM27,'Data Tables'!AN27),IF($Y$23="650-675",IF($Y$24="Yes",'Data Tables'!AM27,'Data Tables'!AN27),IF($Y$23="675-700",IF($Y$24="Yes",'Data Tables'!AM27,'Data Tables'!AN27),IF($Y$23="700-750",IF($Y$24="Yes",'Data Tables'!AS27,'Data Tables'!AT27),IF($Y$23="750-800",IF($Y$24="Yes",'Data Tables'!AS27,'Data Tables'!AT27),IF($Y$23="800-850",IF($Y$24="Yes",'Data Tables'!AS27,'Data Tables'!AT27),IF($Y$24="Yes",'Data Tables'!AS27,'Data Tables'!AT27)))))))))),IF($Y$22="Impermeable - drained for arable",IF($Y$23="550-575",IF($Y$24="Yes",'Data Tables'!AI27,'Data Tables'!AJ27),IF($Y$23="575-600",IF($Y$24="Yes",'Data Tables'!AI27,'Data Tables'!AJ27),IF($Y$23="600-625",IF($Y$24="Yes",'Data Tables'!AO27,'Data Tables'!AP27),IF($Y$23="625-650",IF($Y$24="Yes",'Data Tables'!AO27,'Data Tables'!AP27),IF($Y$23="650-675",IF($Y$24="Yes",'Data Tables'!AO27,'Data Tables'!AP27),IF($Y$23="675-700",IF($Y$24="Yes",'Data Tables'!AO27,'Data Tables'!AP27),IF($Y$23="700-750",IF($Y$24="Yes",'Data Tables'!AU27,'Data Tables'!AV27),IF($Y$23="750-800",IF($Y$24="Yes",'Data Tables'!AU27,'Data Tables'!AV27),IF($Y$23="800-850",IF($Y$24="Yes",'Data Tables'!AU27,'Data Tables'!AV27),IF($Y$24="Yes",'Data Tables'!AU27,'Data Tables'!AV27)))))))))),IF($Y$23="550-575",IF($Y$24="Yes",'Data Tables'!AK27,'Data Tables'!AL27),IF($Y$23="575-600",IF($Y$24="Yes",'Data Tables'!AK27,'Data Tables'!AL27),IF($Y$23="600-625",IF($Y$24="Yes",'Data Tables'!AQ27,'Data Tables'!AR27),IF($Y$23="625-650",IF($Y$24="Yes",'Data Tables'!AQ27,'Data Tables'!AR27),IF($Y$23="650-675",IF($Y$24="Yes",'Data Tables'!AQ27,'Data Tables'!AR27),IF($Y$23="675-700",IF($Y$24="Yes",'Data Tables'!AQ27,'Data Tables'!AR27),IF($Y$23="700-750",IF($Y$24="Yes",'Data Tables'!AW27,'Data Tables'!AX27),IF($Y$23="750-800",IF($Y$24="Yes",'Data Tables'!AW27,'Data Tables'!AX27),IF($Y$23="800-850",IF($Y$24="Yes",'Data Tables'!AW27,'Data Tables'!AX27),IF($Y$24="Yes",'Data Tables'!AW27,'Data Tables'!AX27))))))))))))))),0),"")</f>
        <v/>
      </c>
      <c r="AC32" s="357"/>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 customHeight="1" x14ac:dyDescent="0.35">
      <c r="B33" s="52"/>
      <c r="C33" s="48"/>
      <c r="D33" s="250"/>
      <c r="E33" s="518" t="str">
        <f>'Stage 2'!F28</f>
        <v>Lowland grazing</v>
      </c>
      <c r="F33" s="518"/>
      <c r="G33" s="518"/>
      <c r="H33" s="518"/>
      <c r="I33" s="518"/>
      <c r="J33" s="56"/>
      <c r="K33" s="363" t="str">
        <f>IF('Stage 2'!$K28&gt;0,'Stage 2'!O28/'Stage 2'!$K28,"")</f>
        <v/>
      </c>
      <c r="L33" s="365"/>
      <c r="M33" s="304" t="str">
        <f>IF('Stage 2'!$K28&gt;0,'Stage 2'!Q28/'Stage 2'!$K28,"")</f>
        <v/>
      </c>
      <c r="N33" s="358" t="s">
        <v>62</v>
      </c>
      <c r="O33" s="265" t="s">
        <v>81</v>
      </c>
      <c r="P33" s="285"/>
      <c r="Q33" s="56"/>
      <c r="R33" s="262"/>
      <c r="S33" s="262"/>
      <c r="T33" s="518" t="str">
        <f t="shared" si="0"/>
        <v>Lowland grazing</v>
      </c>
      <c r="U33" s="518"/>
      <c r="V33" s="518"/>
      <c r="W33" s="518"/>
      <c r="X33" s="518"/>
      <c r="Y33" s="358" t="s">
        <v>62</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Tables'!AM6,'Data Tables'!AN6),IF($Y$23="575-600",IF($Y$24="Yes",'Data Tables'!AM6,'Data Tables'!AN6),IF($Y$23="600-625",IF($Y$24="Yes",'Data Tables'!AM6,'Data Tables'!AN6),IF($Y$23="625-650",IF($Y$24="Yes",'Data Tables'!AM6,'Data Tables'!AN6),IF($Y$23="650-675",IF($Y$24="Yes",'Data Tables'!AM6,'Data Tables'!AN6),IF($Y$23="675-700",IF($Y$24="Yes",'Data Tables'!AM6,'Data Tables'!AN6),IF($Y$23="700-750",IF($Y$24="Yes",'Data Tables'!AS6,'Data Tables'!AT6),IF($Y$23="750-800",IF($Y$24="Yes",'Data Tables'!AS6,'Data Tables'!AT6),IF($Y$23="800-850",IF($Y$24="Yes",'Data Tables'!AS6,'Data Tables'!AT6),IF($Y$24="Yes",'Data Tables'!AS6,'Data Tables'!AT6)))))))))),IF($Y$22="Impermeable - drained for arable",IF($Y$23="550-575",IF($Y$24="Yes",'Data Tables'!AO6,'Data Tables'!AP6),IF($Y$23="575-600",IF($Y$24="Yes",'Data Tables'!AO6,'Data Tables'!AP6),IF($Y$23="600-625",IF($Y$24="Yes",'Data Tables'!AO6,'Data Tables'!AP6),IF($Y$23="625-650",IF($Y$24="Yes",'Data Tables'!AO6,'Data Tables'!AP6),IF($Y$23="650-675",IF($Y$24="Yes",'Data Tables'!AO6,'Data Tables'!AP6),IF($Y$23="675-700",IF($Y$24="Yes",'Data Tables'!AO6,'Data Tables'!AP6),IF($Y$23="700-750",IF($Y$24="Yes",'Data Tables'!AU6,'Data Tables'!AV6),IF($Y$23="750-800",IF($Y$24="Yes",'Data Tables'!AU6,'Data Tables'!AV6),IF($Y$23="800-850",IF($Y$24="Yes",'Data Tables'!AU6,'Data Tables'!AV6),IF($Y$24="Yes",'Data Tables'!AU6,'Data Tables'!AV6)))))))))),IF($Y$23="550-575",IF($Y$24="Yes",'Data Tables'!AQ6,'Data Tables'!AR6),IF($Y$23="575-600",IF($Y$24="Yes",'Data Tables'!AQ6,'Data Tables'!AR6),IF($Y$23="600-625",IF($Y$24="Yes",'Data Tables'!AQ6,'Data Tables'!AR6),IF($Y$23="625-650",IF($Y$24="Yes",'Data Tables'!AQ6,'Data Tables'!AR6),IF($Y$23="650-675",IF($Y$24="Yes",'Data Tables'!AQ6,'Data Tables'!AR6),IF($Y$23="675-700",IF($Y$24="Yes",'Data Tables'!AQ6,'Data Tables'!AR6),IF($Y$23="700-750",IF($Y$24="Yes",'Data Tables'!AW6,'Data Tables'!AX6),IF($Y$23="750-800",IF($Y$24="Yes",'Data Tables'!AW6,'Data Tables'!AX6),IF($Y$23="800-850",IF($Y$24="Yes",'Data Tables'!AW6,'Data Tables'!AX6),IF($Y$24="Yes",'Data Tables'!AW6,'Data Tables'!AX6))))))))))))),IF($Y$21="Yare",(IF($Y$22="Freely draining",IF($Y$23="550-575",IF($Y$24="Yes",'Data Tables'!AM17,'Data Tables'!AN17),IF($Y$23="575-600",IF($Y$24="Yes",'Data Tables'!AM17,'Data Tables'!AN17),IF($Y$23="600-625",IF($Y$24="Yes",'Data Tables'!AM17,'Data Tables'!AN17),IF($Y$23="625-650",IF($Y$24="Yes",'Data Tables'!AM17,'Data Tables'!AN17),IF($Y$23="650-675",IF($Y$24="Yes",'Data Tables'!AM17,'Data Tables'!AN17),IF($Y$23="675-700",IF($Y$24="Yes",'Data Tables'!AM17,'Data Tables'!AN17),IF($Y$23="700-750",IF($Y$24="Yes",'Data Tables'!AS17,'Data Tables'!AT17),IF($Y$23="750-800",IF($Y$24="Yes",'Data Tables'!AS17,'Data Tables'!AT17),IF($Y$23="800-850",IF($Y$24="Yes",'Data Tables'!AS17,'Data Tables'!AT17),IF($Y$24="Yes",'Data Tables'!AS17,'Data Tables'!AT17)))))))))),IF($Y$22="Impermeable - drained for arable",IF($Y$23="550-575",IF($Y$24="Yes",'Data Tables'!AO17,'Data Tables'!AP17),IF($Y$23="575-600",IF($Y$24="Yes",'Data Tables'!AO17,'Data Tables'!AP17),IF($Y$23="600-625",IF($Y$24="Yes",'Data Tables'!AO17,'Data Tables'!AP17),IF($Y$23="625-650",IF($Y$24="Yes",'Data Tables'!AO17,'Data Tables'!AP17),IF($Y$23="650-675",IF($Y$24="Yes",'Data Tables'!AO17,'Data Tables'!AP17),IF($Y$23="675-700",IF($Y$24="Yes",'Data Tables'!AO17,'Data Tables'!AP17),IF($Y$23="700-750",IF($Y$24="Yes",'Data Tables'!AU17,'Data Tables'!AV17),IF($Y$23="750-800",IF($Y$24="Yes",'Data Tables'!AU17,'Data Tables'!AV17),IF($Y$23="800-850",IF($Y$24="Yes",'Data Tables'!AU17,'Data Tables'!AV17),IF($Y$24="Yes",'Data Tables'!AU17,'Data Tables'!AV17)))))))))),IF($Y$23="550-575",IF($Y$24="Yes",'Data Tables'!AQ17,'Data Tables'!AR17),IF($Y$23="575-600",IF($Y$24="Yes",'Data Tables'!AQ17,'Data Tables'!AR17),IF($Y$23="600-625",IF($Y$24="Yes",'Data Tables'!AQ17,'Data Tables'!AR17),IF($Y$23="625-650",IF($Y$24="Yes",'Data Tables'!AQ17,'Data Tables'!AR17),IF($Y$23="650-675",IF($Y$24="Yes",'Data Tables'!AQ17,'Data Tables'!AR17),IF($Y$23="675-700",IF($Y$24="Yes",'Data Tables'!AQ17,'Data Tables'!AR17),IF($Y$23="700-750",IF($Y$24="Yes",'Data Tables'!AW17,'Data Tables'!AX17),IF($Y$23="750-800",IF($Y$24="Yes",'Data Tables'!AW17,'Data Tables'!AX17),IF($Y$23="800-850",IF($Y$24="Yes",'Data Tables'!AW17,'Data Tables'!AX17),IF($Y$24="Yes",'Data Tables'!AW17,'Data Tables'!AX17))))))))))))),(IF($Y$22="Freely draining",IF($Y$23="550-575",IF($Y$24="Yes",'Data Tables'!AG28,'Data Tables'!AH28),IF($Y$23="575-600",IF($Y$24="Yes",'Data Tables'!AG28,'Data Tables'!AH28),IF($Y$23="600-625",IF($Y$24="Yes",'Data Tables'!AM28,'Data Tables'!AN28),IF($Y$23="625-650",IF($Y$24="Yes",'Data Tables'!AM28,'Data Tables'!AN28),IF($Y$23="650-675",IF($Y$24="Yes",'Data Tables'!AM28,'Data Tables'!AN28),IF($Y$23="675-700",IF($Y$24="Yes",'Data Tables'!AM28,'Data Tables'!AN28),IF($Y$23="700-750",IF($Y$24="Yes",'Data Tables'!AS28,'Data Tables'!AT28),IF($Y$23="750-800",IF($Y$24="Yes",'Data Tables'!AS28,'Data Tables'!AT28),IF($Y$23="800-850",IF($Y$24="Yes",'Data Tables'!AS28,'Data Tables'!AT28),IF($Y$24="Yes",'Data Tables'!AS28,'Data Tables'!AT28)))))))))),IF($Y$22="Impermeable - drained for arable",IF($Y$23="550-575",IF($Y$24="Yes",'Data Tables'!AI28,'Data Tables'!AJ28),IF($Y$23="575-600",IF($Y$24="Yes",'Data Tables'!AI28,'Data Tables'!AJ28),IF($Y$23="600-625",IF($Y$24="Yes",'Data Tables'!AO28,'Data Tables'!AP28),IF($Y$23="625-650",IF($Y$24="Yes",'Data Tables'!AO28,'Data Tables'!AP28),IF($Y$23="650-675",IF($Y$24="Yes",'Data Tables'!AO28,'Data Tables'!AP28),IF($Y$23="675-700",IF($Y$24="Yes",'Data Tables'!AO28,'Data Tables'!AP28),IF($Y$23="700-750",IF($Y$24="Yes",'Data Tables'!AU28,'Data Tables'!AV28),IF($Y$23="750-800",IF($Y$24="Yes",'Data Tables'!AU28,'Data Tables'!AV28),IF($Y$23="800-850",IF($Y$24="Yes",'Data Tables'!AU28,'Data Tables'!AV28),IF($Y$24="Yes",'Data Tables'!AU28,'Data Tables'!AV28)))))))))),IF($Y$23="550-575",IF($Y$24="Yes",'Data Tables'!AK28,'Data Tables'!AL28),IF($Y$23="575-600",IF($Y$24="Yes",'Data Tables'!AK28,'Data Tables'!AL28),IF($Y$23="600-625",IF($Y$24="Yes",'Data Tables'!AQ28,'Data Tables'!AR28),IF($Y$23="625-650",IF($Y$24="Yes",'Data Tables'!AQ28,'Data Tables'!AR28),IF($Y$23="650-675",IF($Y$24="Yes",'Data Tables'!AQ28,'Data Tables'!AR28),IF($Y$23="675-700",IF($Y$24="Yes",'Data Tables'!AQ28,'Data Tables'!AR28),IF($Y$23="700-750",IF($Y$24="Yes",'Data Tables'!AW28,'Data Tables'!AX28),IF($Y$23="750-800",IF($Y$24="Yes",'Data Tables'!AW28,'Data Tables'!AX28),IF($Y$23="800-850",IF($Y$24="Yes",'Data Tables'!AW28,'Data Tables'!AX28),IF($Y$24="Yes",'Data Tables'!AW28,'Data Tables'!AX28))))))))))))))),0),"")</f>
        <v/>
      </c>
      <c r="AC33" s="357"/>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 customHeight="1" x14ac:dyDescent="0.35">
      <c r="B34" s="52"/>
      <c r="C34" s="48"/>
      <c r="D34" s="250"/>
      <c r="E34" s="518" t="str">
        <f>'Stage 2'!F29</f>
        <v>Mixed</v>
      </c>
      <c r="F34" s="518"/>
      <c r="G34" s="518"/>
      <c r="H34" s="518"/>
      <c r="I34" s="518"/>
      <c r="J34" s="56"/>
      <c r="K34" s="363" t="str">
        <f>IF('Stage 2'!$K29&gt;0,'Stage 2'!O29/'Stage 2'!$K29,"")</f>
        <v/>
      </c>
      <c r="L34" s="365"/>
      <c r="M34" s="304" t="str">
        <f>IF('Stage 2'!$K29&gt;0,'Stage 2'!Q29/'Stage 2'!$K29,"")</f>
        <v/>
      </c>
      <c r="N34" s="358" t="s">
        <v>62</v>
      </c>
      <c r="O34" s="265" t="s">
        <v>81</v>
      </c>
      <c r="P34" s="285"/>
      <c r="Q34" s="56"/>
      <c r="R34" s="262"/>
      <c r="S34" s="262"/>
      <c r="T34" s="518" t="str">
        <f t="shared" si="0"/>
        <v>Mixed</v>
      </c>
      <c r="U34" s="518"/>
      <c r="V34" s="518"/>
      <c r="W34" s="518"/>
      <c r="X34" s="518"/>
      <c r="Y34" s="358" t="s">
        <v>62</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Tables'!AM7,'Data Tables'!AN7),IF($Y$23="575-600",IF($Y$24="Yes",'Data Tables'!AM7,'Data Tables'!AN7),IF($Y$23="600-625",IF($Y$24="Yes",'Data Tables'!AM7,'Data Tables'!AN7),IF($Y$23="625-650",IF($Y$24="Yes",'Data Tables'!AM7,'Data Tables'!AN7),IF($Y$23="650-675",IF($Y$24="Yes",'Data Tables'!AM7,'Data Tables'!AN7),IF($Y$23="675-700",IF($Y$24="Yes",'Data Tables'!AM7,'Data Tables'!AN7),IF($Y$23="700-750",IF($Y$24="Yes",'Data Tables'!AS7,'Data Tables'!AT7),IF($Y$23="750-800",IF($Y$24="Yes",'Data Tables'!AS7,'Data Tables'!AT7),IF($Y$23="800-850",IF($Y$24="Yes",'Data Tables'!AS7,'Data Tables'!AT7),IF($Y$24="Yes",'Data Tables'!AS7,'Data Tables'!AT7)))))))))),IF($Y$22="Impermeable - drained for arable",IF($Y$23="550-575",IF($Y$24="Yes",'Data Tables'!AO7,'Data Tables'!AP7),IF($Y$23="575-600",IF($Y$24="Yes",'Data Tables'!AO7,'Data Tables'!AP7),IF($Y$23="600-625",IF($Y$24="Yes",'Data Tables'!AO7,'Data Tables'!AP7),IF($Y$23="625-650",IF($Y$24="Yes",'Data Tables'!AO7,'Data Tables'!AP7),IF($Y$23="650-675",IF($Y$24="Yes",'Data Tables'!AO7,'Data Tables'!AP7),IF($Y$23="675-700",IF($Y$24="Yes",'Data Tables'!AO7,'Data Tables'!AP7),IF($Y$23="700-750",IF($Y$24="Yes",'Data Tables'!AU7,'Data Tables'!AV7),IF($Y$23="750-800",IF($Y$24="Yes",'Data Tables'!AU7,'Data Tables'!AV7),IF($Y$23="800-850",IF($Y$24="Yes",'Data Tables'!AU7,'Data Tables'!AV7),IF($Y$24="Yes",'Data Tables'!AU7,'Data Tables'!AV7)))))))))),IF($Y$23="550-575",IF($Y$24="Yes",'Data Tables'!AQ7,'Data Tables'!AR7),IF($Y$23="575-600",IF($Y$24="Yes",'Data Tables'!AQ7,'Data Tables'!AR7),IF($Y$23="600-625",IF($Y$24="Yes",'Data Tables'!AQ7,'Data Tables'!AR7),IF($Y$23="625-650",IF($Y$24="Yes",'Data Tables'!AQ7,'Data Tables'!AR7),IF($Y$23="650-675",IF($Y$24="Yes",'Data Tables'!AQ7,'Data Tables'!AR7),IF($Y$23="675-700",IF($Y$24="Yes",'Data Tables'!AQ7,'Data Tables'!AR7),IF($Y$23="700-750",IF($Y$24="Yes",'Data Tables'!AW7,'Data Tables'!AX7),IF($Y$23="750-800",IF($Y$24="Yes",'Data Tables'!AW7,'Data Tables'!AX7),IF($Y$23="800-850",IF($Y$24="Yes",'Data Tables'!AW7,'Data Tables'!AX7),IF($Y$24="Yes",'Data Tables'!AW7,'Data Tables'!AX7))))))))))))),IF($Y$21="Yare",(IF($Y$22="Freely draining",IF($Y$23="550-575",IF($Y$24="Yes",'Data Tables'!AM18,'Data Tables'!AN18),IF($Y$23="575-600",IF($Y$24="Yes",'Data Tables'!AM18,'Data Tables'!AN18),IF($Y$23="600-625",IF($Y$24="Yes",'Data Tables'!AM18,'Data Tables'!AN18),IF($Y$23="625-650",IF($Y$24="Yes",'Data Tables'!AM18,'Data Tables'!AN18),IF($Y$23="650-675",IF($Y$24="Yes",'Data Tables'!AM18,'Data Tables'!AN18),IF($Y$23="675-700",IF($Y$24="Yes",'Data Tables'!AM18,'Data Tables'!AN18),IF($Y$23="700-750",IF($Y$24="Yes",'Data Tables'!AS18,'Data Tables'!AT18),IF($Y$23="750-800",IF($Y$24="Yes",'Data Tables'!AS18,'Data Tables'!AT18),IF($Y$23="800-850",IF($Y$24="Yes",'Data Tables'!AS18,'Data Tables'!AT18),IF($Y$24="Yes",'Data Tables'!AS18,'Data Tables'!AT18)))))))))),IF($Y$22="Impermeable - drained for arable",IF($Y$23="550-575",IF($Y$24="Yes",'Data Tables'!AO18,'Data Tables'!AP18),IF($Y$23="575-600",IF($Y$24="Yes",'Data Tables'!AO18,'Data Tables'!AP18),IF($Y$23="600-625",IF($Y$24="Yes",'Data Tables'!AO18,'Data Tables'!AP18),IF($Y$23="625-650",IF($Y$24="Yes",'Data Tables'!AO18,'Data Tables'!AP18),IF($Y$23="650-675",IF($Y$24="Yes",'Data Tables'!AO18,'Data Tables'!AP18),IF($Y$23="675-700",IF($Y$24="Yes",'Data Tables'!AO18,'Data Tables'!AP18),IF($Y$23="700-750",IF($Y$24="Yes",'Data Tables'!AU18,'Data Tables'!AV18),IF($Y$23="750-800",IF($Y$24="Yes",'Data Tables'!AU18,'Data Tables'!AV18),IF($Y$23="800-850",IF($Y$24="Yes",'Data Tables'!AU18,'Data Tables'!AV18),IF($Y$24="Yes",'Data Tables'!AU18,'Data Tables'!AV18)))))))))),IF($Y$23="550-575",IF($Y$24="Yes",'Data Tables'!AQ18,'Data Tables'!AR18),IF($Y$23="575-600",IF($Y$24="Yes",'Data Tables'!AQ18,'Data Tables'!AR18),IF($Y$23="600-625",IF($Y$24="Yes",'Data Tables'!AQ18,'Data Tables'!AR18),IF($Y$23="625-650",IF($Y$24="Yes",'Data Tables'!AQ18,'Data Tables'!AR18),IF($Y$23="650-675",IF($Y$24="Yes",'Data Tables'!AQ18,'Data Tables'!AR18),IF($Y$23="675-700",IF($Y$24="Yes",'Data Tables'!AQ18,'Data Tables'!AR18),IF($Y$23="700-750",IF($Y$24="Yes",'Data Tables'!AW18,'Data Tables'!AX18),IF($Y$23="750-800",IF($Y$24="Yes",'Data Tables'!AW18,'Data Tables'!AX18),IF($Y$23="800-850",IF($Y$24="Yes",'Data Tables'!AW18,'Data Tables'!AX18),IF($Y$24="Yes",'Data Tables'!AW18,'Data Tables'!AX18))))))))))))),(IF($Y$22="Freely draining",IF($Y$23="550-575",IF($Y$24="Yes",'Data Tables'!AG29,'Data Tables'!AH29),IF($Y$23="575-600",IF($Y$24="Yes",'Data Tables'!AG29,'Data Tables'!AH29),IF($Y$23="600-625",IF($Y$24="Yes",'Data Tables'!AM29,'Data Tables'!AN29),IF($Y$23="625-650",IF($Y$24="Yes",'Data Tables'!AM29,'Data Tables'!AN29),IF($Y$23="650-675",IF($Y$24="Yes",'Data Tables'!AM29,'Data Tables'!AN29),IF($Y$23="675-700",IF($Y$24="Yes",'Data Tables'!AM29,'Data Tables'!AN29),IF($Y$23="700-750",IF($Y$24="Yes",'Data Tables'!AS29,'Data Tables'!AT29),IF($Y$23="750-800",IF($Y$24="Yes",'Data Tables'!AS29,'Data Tables'!AT29),IF($Y$23="800-850",IF($Y$24="Yes",'Data Tables'!AS29,'Data Tables'!AT29),IF($Y$24="Yes",'Data Tables'!AS29,'Data Tables'!AT29)))))))))),IF($Y$22="Impermeable - drained for arable",IF($Y$23="550-575",IF($Y$24="Yes",'Data Tables'!AI29,'Data Tables'!AJ29),IF($Y$23="575-600",IF($Y$24="Yes",'Data Tables'!AI29,'Data Tables'!AJ29),IF($Y$23="600-625",IF($Y$24="Yes",'Data Tables'!AO29,'Data Tables'!AP29),IF($Y$23="625-650",IF($Y$24="Yes",'Data Tables'!AO29,'Data Tables'!AP29),IF($Y$23="650-675",IF($Y$24="Yes",'Data Tables'!AO29,'Data Tables'!AP29),IF($Y$23="675-700",IF($Y$24="Yes",'Data Tables'!AO29,'Data Tables'!AP29),IF($Y$23="700-750",IF($Y$24="Yes",'Data Tables'!AU29,'Data Tables'!AV29),IF($Y$23="750-800",IF($Y$24="Yes",'Data Tables'!AU29,'Data Tables'!AV29),IF($Y$23="800-850",IF($Y$24="Yes",'Data Tables'!AU29,'Data Tables'!AV29),IF($Y$24="Yes",'Data Tables'!AU29,'Data Tables'!AV29)))))))))),IF($Y$23="550-575",IF($Y$24="Yes",'Data Tables'!AK29,'Data Tables'!AL29),IF($Y$23="575-600",IF($Y$24="Yes",'Data Tables'!AK29,'Data Tables'!AL29),IF($Y$23="600-625",IF($Y$24="Yes",'Data Tables'!AQ29,'Data Tables'!AR29),IF($Y$23="625-650",IF($Y$24="Yes",'Data Tables'!AQ29,'Data Tables'!AR29),IF($Y$23="650-675",IF($Y$24="Yes",'Data Tables'!AQ29,'Data Tables'!AR29),IF($Y$23="675-700",IF($Y$24="Yes",'Data Tables'!AQ29,'Data Tables'!AR29),IF($Y$23="700-750",IF($Y$24="Yes",'Data Tables'!AW29,'Data Tables'!AX29),IF($Y$23="750-800",IF($Y$24="Yes",'Data Tables'!AW29,'Data Tables'!AX29),IF($Y$23="800-850",IF($Y$24="Yes",'Data Tables'!AW29,'Data Tables'!AX29),IF($Y$24="Yes",'Data Tables'!AW29,'Data Tables'!AX29))))))))))))))),0),"")</f>
        <v/>
      </c>
      <c r="AC34" s="357"/>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 customHeight="1" x14ac:dyDescent="0.35">
      <c r="B35" s="52"/>
      <c r="C35" s="48"/>
      <c r="D35" s="250"/>
      <c r="E35" s="518" t="str">
        <f>'Stage 2'!F30</f>
        <v>Poultry</v>
      </c>
      <c r="F35" s="518"/>
      <c r="G35" s="518"/>
      <c r="H35" s="518"/>
      <c r="I35" s="518"/>
      <c r="J35" s="56"/>
      <c r="K35" s="363" t="str">
        <f>IF('Stage 2'!$K30&gt;0,'Stage 2'!O30/'Stage 2'!$K30,"")</f>
        <v/>
      </c>
      <c r="L35" s="365"/>
      <c r="M35" s="304" t="str">
        <f>IF('Stage 2'!$K30&gt;0,'Stage 2'!Q30/'Stage 2'!$K30,"")</f>
        <v/>
      </c>
      <c r="N35" s="358" t="s">
        <v>62</v>
      </c>
      <c r="O35" s="265" t="s">
        <v>81</v>
      </c>
      <c r="P35" s="285"/>
      <c r="Q35" s="56"/>
      <c r="R35" s="262"/>
      <c r="S35" s="262"/>
      <c r="T35" s="518" t="str">
        <f t="shared" si="0"/>
        <v>Poultry</v>
      </c>
      <c r="U35" s="518"/>
      <c r="V35" s="518"/>
      <c r="W35" s="518"/>
      <c r="X35" s="518"/>
      <c r="Y35" s="358" t="s">
        <v>62</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Tables'!AM8,'Data Tables'!AN8),IF($Y$23="575-600",IF($Y$24="Yes",'Data Tables'!AM8,'Data Tables'!AN8),IF($Y$23="600-625",IF($Y$24="Yes",'Data Tables'!AM8,'Data Tables'!AN8),IF($Y$23="625-650",IF($Y$24="Yes",'Data Tables'!AM8,'Data Tables'!AN8),IF($Y$23="650-675",IF($Y$24="Yes",'Data Tables'!AM8,'Data Tables'!AN8),IF($Y$23="675-700",IF($Y$24="Yes",'Data Tables'!AM8,'Data Tables'!AN8),IF($Y$23="700-750",IF($Y$24="Yes",'Data Tables'!AS8,'Data Tables'!AT8),IF($Y$23="750-800",IF($Y$24="Yes",'Data Tables'!AS8,'Data Tables'!AT8),IF($Y$23="800-850",IF($Y$24="Yes",'Data Tables'!AS8,'Data Tables'!AT8),IF($Y$24="Yes",'Data Tables'!AS8,'Data Tables'!AT8)))))))))),IF($Y$22="Impermeable - drained for arable",IF($Y$23="550-575",IF($Y$24="Yes",'Data Tables'!AO8,'Data Tables'!AP8),IF($Y$23="575-600",IF($Y$24="Yes",'Data Tables'!AO8,'Data Tables'!AP8),IF($Y$23="600-625",IF($Y$24="Yes",'Data Tables'!AO8,'Data Tables'!AP8),IF($Y$23="625-650",IF($Y$24="Yes",'Data Tables'!AO8,'Data Tables'!AP8),IF($Y$23="650-675",IF($Y$24="Yes",'Data Tables'!AO8,'Data Tables'!AP8),IF($Y$23="675-700",IF($Y$24="Yes",'Data Tables'!AO8,'Data Tables'!AP8),IF($Y$23="700-750",IF($Y$24="Yes",'Data Tables'!AU8,'Data Tables'!AV8),IF($Y$23="750-800",IF($Y$24="Yes",'Data Tables'!AU8,'Data Tables'!AV8),IF($Y$23="800-850",IF($Y$24="Yes",'Data Tables'!AU8,'Data Tables'!AV8),IF($Y$24="Yes",'Data Tables'!AU8,'Data Tables'!AV8)))))))))),IF($Y$23="550-575",IF($Y$24="Yes",'Data Tables'!AQ8,'Data Tables'!AR8),IF($Y$23="575-600",IF($Y$24="Yes",'Data Tables'!AQ8,'Data Tables'!AR8),IF($Y$23="600-625",IF($Y$24="Yes",'Data Tables'!AQ8,'Data Tables'!AR8),IF($Y$23="625-650",IF($Y$24="Yes",'Data Tables'!AQ8,'Data Tables'!AR8),IF($Y$23="650-675",IF($Y$24="Yes",'Data Tables'!AQ8,'Data Tables'!AR8),IF($Y$23="675-700",IF($Y$24="Yes",'Data Tables'!AQ8,'Data Tables'!AR8),IF($Y$23="700-750",IF($Y$24="Yes",'Data Tables'!AW8,'Data Tables'!AX8),IF($Y$23="750-800",IF($Y$24="Yes",'Data Tables'!AW8,'Data Tables'!AX8),IF($Y$23="800-850",IF($Y$24="Yes",'Data Tables'!AW8,'Data Tables'!AX8),IF($Y$24="Yes",'Data Tables'!AW8,'Data Tables'!AX8))))))))))))),IF($Y$21="Yare",(IF($Y$22="Freely draining",IF($Y$23="550-575",IF($Y$24="Yes",'Data Tables'!AM19,'Data Tables'!AN19),IF($Y$23="575-600",IF($Y$24="Yes",'Data Tables'!AM19,'Data Tables'!AN19),IF($Y$23="600-625",IF($Y$24="Yes",'Data Tables'!AM19,'Data Tables'!AN19),IF($Y$23="625-650",IF($Y$24="Yes",'Data Tables'!AM19,'Data Tables'!AN19),IF($Y$23="650-675",IF($Y$24="Yes",'Data Tables'!AM19,'Data Tables'!AN19),IF($Y$23="675-700",IF($Y$24="Yes",'Data Tables'!AM19,'Data Tables'!AN19),IF($Y$23="700-750",IF($Y$24="Yes",'Data Tables'!AS19,'Data Tables'!AT19),IF($Y$23="750-800",IF($Y$24="Yes",'Data Tables'!AS19,'Data Tables'!AT19),IF($Y$23="800-850",IF($Y$24="Yes",'Data Tables'!AS19,'Data Tables'!AT19),IF($Y$24="Yes",'Data Tables'!AS19,'Data Tables'!AT19)))))))))),IF($Y$22="Impermeable - drained for arable",IF($Y$23="550-575",IF($Y$24="Yes",'Data Tables'!AO19,'Data Tables'!AP19),IF($Y$23="575-600",IF($Y$24="Yes",'Data Tables'!AO19,'Data Tables'!AP19),IF($Y$23="600-625",IF($Y$24="Yes",'Data Tables'!AO19,'Data Tables'!AP19),IF($Y$23="625-650",IF($Y$24="Yes",'Data Tables'!AO19,'Data Tables'!AP19),IF($Y$23="650-675",IF($Y$24="Yes",'Data Tables'!AO19,'Data Tables'!AP19),IF($Y$23="675-700",IF($Y$24="Yes",'Data Tables'!AO19,'Data Tables'!AP19),IF($Y$23="700-750",IF($Y$24="Yes",'Data Tables'!AU19,'Data Tables'!AV19),IF($Y$23="750-800",IF($Y$24="Yes",'Data Tables'!AU19,'Data Tables'!AV19),IF($Y$23="800-850",IF($Y$24="Yes",'Data Tables'!AU19,'Data Tables'!AV19),IF($Y$24="Yes",'Data Tables'!AU19,'Data Tables'!AV19)))))))))),IF($Y$23="550-575",IF($Y$24="Yes",'Data Tables'!AQ19,'Data Tables'!AR19),IF($Y$23="575-600",IF($Y$24="Yes",'Data Tables'!AQ19,'Data Tables'!AR19),IF($Y$23="600-625",IF($Y$24="Yes",'Data Tables'!AQ19,'Data Tables'!AR19),IF($Y$23="625-650",IF($Y$24="Yes",'Data Tables'!AQ19,'Data Tables'!AR19),IF($Y$23="650-675",IF($Y$24="Yes",'Data Tables'!AQ19,'Data Tables'!AR19),IF($Y$23="675-700",IF($Y$24="Yes",'Data Tables'!AQ19,'Data Tables'!AR19),IF($Y$23="700-750",IF($Y$24="Yes",'Data Tables'!AW19,'Data Tables'!AX19),IF($Y$23="750-800",IF($Y$24="Yes",'Data Tables'!AW19,'Data Tables'!AX19),IF($Y$23="800-850",IF($Y$24="Yes",'Data Tables'!AW19,'Data Tables'!AX19),IF($Y$24="Yes",'Data Tables'!AW19,'Data Tables'!AX19))))))))))))),(IF($Y$22="Freely draining",IF($Y$23="550-575",IF($Y$24="Yes",'Data Tables'!AG30,'Data Tables'!AH30),IF($Y$23="575-600",IF($Y$24="Yes",'Data Tables'!AG30,'Data Tables'!AH30),IF($Y$23="600-625",IF($Y$24="Yes",'Data Tables'!AM30,'Data Tables'!AN30),IF($Y$23="625-650",IF($Y$24="Yes",'Data Tables'!AM30,'Data Tables'!AN30),IF($Y$23="650-675",IF($Y$24="Yes",'Data Tables'!AM30,'Data Tables'!AN30),IF($Y$23="675-700",IF($Y$24="Yes",'Data Tables'!AM30,'Data Tables'!AN30),IF($Y$23="700-750",IF($Y$24="Yes",'Data Tables'!AS30,'Data Tables'!AT30),IF($Y$23="750-800",IF($Y$24="Yes",'Data Tables'!AS30,'Data Tables'!AT30),IF($Y$23="800-850",IF($Y$24="Yes",'Data Tables'!AS30,'Data Tables'!AT30),IF($Y$24="Yes",'Data Tables'!AS30,'Data Tables'!AT30)))))))))),IF($Y$22="Impermeable - drained for arable",IF($Y$23="550-575",IF($Y$24="Yes",'Data Tables'!AI30,'Data Tables'!AJ30),IF($Y$23="575-600",IF($Y$24="Yes",'Data Tables'!AI30,'Data Tables'!AJ30),IF($Y$23="600-625",IF($Y$24="Yes",'Data Tables'!AO30,'Data Tables'!AP30),IF($Y$23="625-650",IF($Y$24="Yes",'Data Tables'!AO30,'Data Tables'!AP30),IF($Y$23="650-675",IF($Y$24="Yes",'Data Tables'!AO30,'Data Tables'!AP30),IF($Y$23="675-700",IF($Y$24="Yes",'Data Tables'!AO30,'Data Tables'!AP30),IF($Y$23="700-750",IF($Y$24="Yes",'Data Tables'!AU30,'Data Tables'!AV30),IF($Y$23="750-800",IF($Y$24="Yes",'Data Tables'!AU30,'Data Tables'!AV30),IF($Y$23="800-850",IF($Y$24="Yes",'Data Tables'!AU30,'Data Tables'!AV30),IF($Y$24="Yes",'Data Tables'!AU30,'Data Tables'!AV30)))))))))),IF($Y$23="550-575",IF($Y$24="Yes",'Data Tables'!AK30,'Data Tables'!AL30),IF($Y$23="575-600",IF($Y$24="Yes",'Data Tables'!AK30,'Data Tables'!AL30),IF($Y$23="600-625",IF($Y$24="Yes",'Data Tables'!AQ30,'Data Tables'!AR30),IF($Y$23="625-650",IF($Y$24="Yes",'Data Tables'!AQ30,'Data Tables'!AR30),IF($Y$23="650-675",IF($Y$24="Yes",'Data Tables'!AQ30,'Data Tables'!AR30),IF($Y$23="675-700",IF($Y$24="Yes",'Data Tables'!AQ30,'Data Tables'!AR30),IF($Y$23="700-750",IF($Y$24="Yes",'Data Tables'!AW30,'Data Tables'!AX30),IF($Y$23="750-800",IF($Y$24="Yes",'Data Tables'!AW30,'Data Tables'!AX30),IF($Y$23="800-850",IF($Y$24="Yes",'Data Tables'!AW30,'Data Tables'!AX30),IF($Y$24="Yes",'Data Tables'!AW30,'Data Tables'!AX30))))))))))))))),0),"")</f>
        <v/>
      </c>
      <c r="AC35" s="357"/>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 customHeight="1" x14ac:dyDescent="0.35">
      <c r="B36" s="52"/>
      <c r="C36" s="48"/>
      <c r="D36" s="250"/>
      <c r="E36" s="518" t="str">
        <f>'Stage 2'!F31</f>
        <v>Pigs</v>
      </c>
      <c r="F36" s="518"/>
      <c r="G36" s="518"/>
      <c r="H36" s="518"/>
      <c r="I36" s="518"/>
      <c r="J36" s="56"/>
      <c r="K36" s="363" t="str">
        <f>IF('Stage 2'!$K31&gt;0,'Stage 2'!O31/'Stage 2'!$K31,"")</f>
        <v/>
      </c>
      <c r="L36" s="365"/>
      <c r="M36" s="304" t="str">
        <f>IF('Stage 2'!$K31&gt;0,'Stage 2'!Q31/'Stage 2'!$K31,"")</f>
        <v/>
      </c>
      <c r="N36" s="358" t="s">
        <v>62</v>
      </c>
      <c r="O36" s="265" t="s">
        <v>81</v>
      </c>
      <c r="P36" s="285"/>
      <c r="Q36" s="56"/>
      <c r="R36" s="262"/>
      <c r="S36" s="262"/>
      <c r="T36" s="518" t="str">
        <f t="shared" si="0"/>
        <v>Pigs</v>
      </c>
      <c r="U36" s="518"/>
      <c r="V36" s="518"/>
      <c r="W36" s="518"/>
      <c r="X36" s="518"/>
      <c r="Y36" s="358" t="s">
        <v>62</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Tables'!AM9,'Data Tables'!AN9),IF($Y$23="575-600",IF($Y$24="Yes",'Data Tables'!AM9,'Data Tables'!AN9),IF($Y$23="600-625",IF($Y$24="Yes",'Data Tables'!AM9,'Data Tables'!AN9),IF($Y$23="625-650",IF($Y$24="Yes",'Data Tables'!AM9,'Data Tables'!AN9),IF($Y$23="650-675",IF($Y$24="Yes",'Data Tables'!AM9,'Data Tables'!AN9),IF($Y$23="675-700",IF($Y$24="Yes",'Data Tables'!AM9,'Data Tables'!AN9),IF($Y$23="700-750",IF($Y$24="Yes",'Data Tables'!AS9,'Data Tables'!AT9),IF($Y$23="750-800",IF($Y$24="Yes",'Data Tables'!AS9,'Data Tables'!AT9),IF($Y$23="800-850",IF($Y$24="Yes",'Data Tables'!AS9,'Data Tables'!AT9),IF($Y$24="Yes",'Data Tables'!AS9,'Data Tables'!AT9)))))))))),IF($Y$22="Impermeable - drained for arable",IF($Y$23="550-575",IF($Y$24="Yes",'Data Tables'!AO9,'Data Tables'!AP9),IF($Y$23="575-600",IF($Y$24="Yes",'Data Tables'!AO9,'Data Tables'!AP9),IF($Y$23="600-625",IF($Y$24="Yes",'Data Tables'!AO9,'Data Tables'!AP9),IF($Y$23="625-650",IF($Y$24="Yes",'Data Tables'!AO9,'Data Tables'!AP9),IF($Y$23="650-675",IF($Y$24="Yes",'Data Tables'!AO9,'Data Tables'!AP9),IF($Y$23="675-700",IF($Y$24="Yes",'Data Tables'!AO9,'Data Tables'!AP9),IF($Y$23="700-750",IF($Y$24="Yes",'Data Tables'!AU9,'Data Tables'!AV9),IF($Y$23="750-800",IF($Y$24="Yes",'Data Tables'!AU9,'Data Tables'!AV9),IF($Y$23="800-850",IF($Y$24="Yes",'Data Tables'!AU9,'Data Tables'!AV9),IF($Y$24="Yes",'Data Tables'!AU9,'Data Tables'!AV9)))))))))),IF($Y$23="550-575",IF($Y$24="Yes",'Data Tables'!AQ9,'Data Tables'!AR9),IF($Y$23="575-600",IF($Y$24="Yes",'Data Tables'!AQ9,'Data Tables'!AR9),IF($Y$23="600-625",IF($Y$24="Yes",'Data Tables'!AQ9,'Data Tables'!AR9),IF($Y$23="625-650",IF($Y$24="Yes",'Data Tables'!AQ9,'Data Tables'!AR9),IF($Y$23="650-675",IF($Y$24="Yes",'Data Tables'!AQ9,'Data Tables'!AR9),IF($Y$23="675-700",IF($Y$24="Yes",'Data Tables'!AQ9,'Data Tables'!AR9),IF($Y$23="700-750",IF($Y$24="Yes",'Data Tables'!AW9,'Data Tables'!AX9),IF($Y$23="750-800",IF($Y$24="Yes",'Data Tables'!AW9,'Data Tables'!AX9),IF($Y$23="800-850",IF($Y$24="Yes",'Data Tables'!AW9,'Data Tables'!AX9),IF($Y$24="Yes",'Data Tables'!AW9,'Data Tables'!AX9))))))))))))),IF($Y$21="Yare",(IF($Y$22="Freely draining",IF($Y$23="550-575",IF($Y$24="Yes",'Data Tables'!AM20,'Data Tables'!AN20),IF($Y$23="575-600",IF($Y$24="Yes",'Data Tables'!AM20,'Data Tables'!AN20),IF($Y$23="600-625",IF($Y$24="Yes",'Data Tables'!AM20,'Data Tables'!AN20),IF($Y$23="625-650",IF($Y$24="Yes",'Data Tables'!AM20,'Data Tables'!AN20),IF($Y$23="650-675",IF($Y$24="Yes",'Data Tables'!AM20,'Data Tables'!AN20),IF($Y$23="675-700",IF($Y$24="Yes",'Data Tables'!AM20,'Data Tables'!AN20),IF($Y$23="700-750",IF($Y$24="Yes",'Data Tables'!AS20,'Data Tables'!AT20),IF($Y$23="750-800",IF($Y$24="Yes",'Data Tables'!AS20,'Data Tables'!AT20),IF($Y$23="800-850",IF($Y$24="Yes",'Data Tables'!AS20,'Data Tables'!AT20),IF($Y$24="Yes",'Data Tables'!AS20,'Data Tables'!AT20)))))))))),IF($Y$22="Impermeable - drained for arable",IF($Y$23="550-575",IF($Y$24="Yes",'Data Tables'!AO20,'Data Tables'!AP20),IF($Y$23="575-600",IF($Y$24="Yes",'Data Tables'!AO20,'Data Tables'!AP20),IF($Y$23="600-625",IF($Y$24="Yes",'Data Tables'!AO20,'Data Tables'!AP20),IF($Y$23="625-650",IF($Y$24="Yes",'Data Tables'!AO20,'Data Tables'!AP20),IF($Y$23="650-675",IF($Y$24="Yes",'Data Tables'!AO20,'Data Tables'!AP20),IF($Y$23="675-700",IF($Y$24="Yes",'Data Tables'!AO20,'Data Tables'!AP20),IF($Y$23="700-750",IF($Y$24="Yes",'Data Tables'!AU20,'Data Tables'!AV20),IF($Y$23="750-800",IF($Y$24="Yes",'Data Tables'!AU20,'Data Tables'!AV20),IF($Y$23="800-850",IF($Y$24="Yes",'Data Tables'!AU20,'Data Tables'!AV20),IF($Y$24="Yes",'Data Tables'!AU20,'Data Tables'!AV20)))))))))),IF($Y$23="550-575",IF($Y$24="Yes",'Data Tables'!AQ20,'Data Tables'!AR20),IF($Y$23="575-600",IF($Y$24="Yes",'Data Tables'!AQ20,'Data Tables'!AR20),IF($Y$23="600-625",IF($Y$24="Yes",'Data Tables'!AQ20,'Data Tables'!AR20),IF($Y$23="625-650",IF($Y$24="Yes",'Data Tables'!AQ20,'Data Tables'!AR20),IF($Y$23="650-675",IF($Y$24="Yes",'Data Tables'!AQ20,'Data Tables'!AR20),IF($Y$23="675-700",IF($Y$24="Yes",'Data Tables'!AQ20,'Data Tables'!AR20),IF($Y$23="700-750",IF($Y$24="Yes",'Data Tables'!AW20,'Data Tables'!AX20),IF($Y$23="750-800",IF($Y$24="Yes",'Data Tables'!AW20,'Data Tables'!AX20),IF($Y$23="800-850",IF($Y$24="Yes",'Data Tables'!AW20,'Data Tables'!AX20),IF($Y$24="Yes",'Data Tables'!AW20,'Data Tables'!AX20))))))))))))),(IF($Y$22="Freely draining",IF($Y$23="550-575",IF($Y$24="Yes",'Data Tables'!AG31,'Data Tables'!AH31),IF($Y$23="575-600",IF($Y$24="Yes",'Data Tables'!AG31,'Data Tables'!AH31),IF($Y$23="600-625",IF($Y$24="Yes",'Data Tables'!AM31,'Data Tables'!AN31),IF($Y$23="625-650",IF($Y$24="Yes",'Data Tables'!AM31,'Data Tables'!AN31),IF($Y$23="650-675",IF($Y$24="Yes",'Data Tables'!AM31,'Data Tables'!AN31),IF($Y$23="675-700",IF($Y$24="Yes",'Data Tables'!AM31,'Data Tables'!AN31),IF($Y$23="700-750",IF($Y$24="Yes",'Data Tables'!AS31,'Data Tables'!AT31),IF($Y$23="750-800",IF($Y$24="Yes",'Data Tables'!AS31,'Data Tables'!AT31),IF($Y$23="800-850",IF($Y$24="Yes",'Data Tables'!AS31,'Data Tables'!AT31),IF($Y$24="Yes",'Data Tables'!AS31,'Data Tables'!AT31)))))))))),IF($Y$22="Impermeable - drained for arable",IF($Y$23="550-575",IF($Y$24="Yes",'Data Tables'!AI31,'Data Tables'!AJ31),IF($Y$23="575-600",IF($Y$24="Yes",'Data Tables'!AI31,'Data Tables'!AJ31),IF($Y$23="600-625",IF($Y$24="Yes",'Data Tables'!AO31,'Data Tables'!AP31),IF($Y$23="625-650",IF($Y$24="Yes",'Data Tables'!AO31,'Data Tables'!AP31),IF($Y$23="650-675",IF($Y$24="Yes",'Data Tables'!AO31,'Data Tables'!AP31),IF($Y$23="675-700",IF($Y$24="Yes",'Data Tables'!AO31,'Data Tables'!AP31),IF($Y$23="700-750",IF($Y$24="Yes",'Data Tables'!AU31,'Data Tables'!AV31),IF($Y$23="750-800",IF($Y$24="Yes",'Data Tables'!AU31,'Data Tables'!AV31),IF($Y$23="800-850",IF($Y$24="Yes",'Data Tables'!AU31,'Data Tables'!AV31),IF($Y$24="Yes",'Data Tables'!AU31,'Data Tables'!AV31)))))))))),IF($Y$23="550-575",IF($Y$24="Yes",'Data Tables'!AK31,'Data Tables'!AL31),IF($Y$23="575-600",IF($Y$24="Yes",'Data Tables'!AK31,'Data Tables'!AL31),IF($Y$23="600-625",IF($Y$24="Yes",'Data Tables'!AQ31,'Data Tables'!AR31),IF($Y$23="625-650",IF($Y$24="Yes",'Data Tables'!AQ31,'Data Tables'!AR31),IF($Y$23="650-675",IF($Y$24="Yes",'Data Tables'!AQ31,'Data Tables'!AR31),IF($Y$23="675-700",IF($Y$24="Yes",'Data Tables'!AQ31,'Data Tables'!AR31),IF($Y$23="700-750",IF($Y$24="Yes",'Data Tables'!AW31,'Data Tables'!AX31),IF($Y$23="750-800",IF($Y$24="Yes",'Data Tables'!AW31,'Data Tables'!AX31),IF($Y$23="800-850",IF($Y$24="Yes",'Data Tables'!AW31,'Data Tables'!AX31),IF($Y$24="Yes",'Data Tables'!AW31,'Data Tables'!AX31))))))))))))))),0),"")</f>
        <v/>
      </c>
      <c r="AC36" s="357"/>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 customHeight="1" x14ac:dyDescent="0.35">
      <c r="B37" s="52"/>
      <c r="C37" s="48"/>
      <c r="D37" s="250"/>
      <c r="E37" s="518" t="str">
        <f>'Stage 2'!F32</f>
        <v>Horticulture</v>
      </c>
      <c r="F37" s="518"/>
      <c r="G37" s="518"/>
      <c r="H37" s="518"/>
      <c r="I37" s="518"/>
      <c r="J37" s="56"/>
      <c r="K37" s="363" t="str">
        <f>IF('Stage 2'!$K32&gt;0,'Stage 2'!O32/'Stage 2'!$K32,"")</f>
        <v/>
      </c>
      <c r="L37" s="365"/>
      <c r="M37" s="304" t="str">
        <f>IF('Stage 2'!$K32&gt;0,'Stage 2'!Q32/'Stage 2'!$K32,"")</f>
        <v/>
      </c>
      <c r="N37" s="358" t="s">
        <v>62</v>
      </c>
      <c r="O37" s="265" t="s">
        <v>81</v>
      </c>
      <c r="P37" s="285"/>
      <c r="Q37" s="56"/>
      <c r="R37" s="262"/>
      <c r="S37" s="262"/>
      <c r="T37" s="518" t="str">
        <f t="shared" si="0"/>
        <v>Horticulture</v>
      </c>
      <c r="U37" s="518"/>
      <c r="V37" s="518"/>
      <c r="W37" s="518"/>
      <c r="X37" s="518"/>
      <c r="Y37" s="358" t="s">
        <v>62</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Tables'!AM10,'Data Tables'!AN10),IF($Y$23="575-600",IF($Y$24="Yes",'Data Tables'!AM10,'Data Tables'!AN10),IF($Y$23="600-625",IF($Y$24="Yes",'Data Tables'!AM10,'Data Tables'!AN10),IF($Y$23="625-650",IF($Y$24="Yes",'Data Tables'!AM10,'Data Tables'!AN10),IF($Y$23="650-675",IF($Y$24="Yes",'Data Tables'!AM10,'Data Tables'!AN10),IF($Y$23="675-700",IF($Y$24="Yes",'Data Tables'!AM10,'Data Tables'!AN10),IF($Y$23="700-750",IF($Y$24="Yes",'Data Tables'!AS10,'Data Tables'!AT10),IF($Y$23="750-800",IF($Y$24="Yes",'Data Tables'!AS10,'Data Tables'!AT10),IF($Y$23="800-850",IF($Y$24="Yes",'Data Tables'!AS10,'Data Tables'!AT10),IF($Y$24="Yes",'Data Tables'!AS10,'Data Tables'!AT10)))))))))),IF($Y$22="Impermeable - drained for arable",IF($Y$23="550-575",IF($Y$24="Yes",'Data Tables'!AO10,'Data Tables'!AP10),IF($Y$23="575-600",IF($Y$24="Yes",'Data Tables'!AO10,'Data Tables'!AP10),IF($Y$23="600-625",IF($Y$24="Yes",'Data Tables'!AO10,'Data Tables'!AP10),IF($Y$23="625-650",IF($Y$24="Yes",'Data Tables'!AO10,'Data Tables'!AP10),IF($Y$23="650-675",IF($Y$24="Yes",'Data Tables'!AO10,'Data Tables'!AP10),IF($Y$23="675-700",IF($Y$24="Yes",'Data Tables'!AO10,'Data Tables'!AP10),IF($Y$23="700-750",IF($Y$24="Yes",'Data Tables'!AU10,'Data Tables'!AV10),IF($Y$23="750-800",IF($Y$24="Yes",'Data Tables'!AU10,'Data Tables'!AV10),IF($Y$23="800-850",IF($Y$24="Yes",'Data Tables'!AU10,'Data Tables'!AV10),IF($Y$24="Yes",'Data Tables'!AU10,'Data Tables'!AV10)))))))))),IF($Y$23="550-575",IF($Y$24="Yes",'Data Tables'!AQ10,'Data Tables'!AR10),IF($Y$23="575-600",IF($Y$24="Yes",'Data Tables'!AQ10,'Data Tables'!AR10),IF($Y$23="600-625",IF($Y$24="Yes",'Data Tables'!AQ10,'Data Tables'!AR10),IF($Y$23="625-650",IF($Y$24="Yes",'Data Tables'!AQ10,'Data Tables'!AR10),IF($Y$23="650-675",IF($Y$24="Yes",'Data Tables'!AQ10,'Data Tables'!AR10),IF($Y$23="675-700",IF($Y$24="Yes",'Data Tables'!AQ10,'Data Tables'!AR10),IF($Y$23="700-750",IF($Y$24="Yes",'Data Tables'!AW10,'Data Tables'!AX10),IF($Y$23="750-800",IF($Y$24="Yes",'Data Tables'!AW10,'Data Tables'!AX10),IF($Y$23="800-850",IF($Y$24="Yes",'Data Tables'!AW10,'Data Tables'!AX10),IF($Y$24="Yes",'Data Tables'!AW10,'Data Tables'!AX10))))))))))))),IF($Y$21="Yare",(IF($Y$22="Freely draining",IF($Y$23="550-575",IF($Y$24="Yes",'Data Tables'!AM21,'Data Tables'!AN21),IF($Y$23="575-600",IF($Y$24="Yes",'Data Tables'!AM21,'Data Tables'!AN21),IF($Y$23="600-625",IF($Y$24="Yes",'Data Tables'!AM21,'Data Tables'!AN21),IF($Y$23="625-650",IF($Y$24="Yes",'Data Tables'!AM21,'Data Tables'!AN21),IF($Y$23="650-675",IF($Y$24="Yes",'Data Tables'!AM21,'Data Tables'!AN21),IF($Y$23="675-700",IF($Y$24="Yes",'Data Tables'!AM21,'Data Tables'!AN21),IF($Y$23="700-750",IF($Y$24="Yes",'Data Tables'!AS21,'Data Tables'!AT21),IF($Y$23="750-800",IF($Y$24="Yes",'Data Tables'!AS21,'Data Tables'!AT21),IF($Y$23="800-850",IF($Y$24="Yes",'Data Tables'!AS21,'Data Tables'!AT21),IF($Y$24="Yes",'Data Tables'!AS21,'Data Tables'!AT21)))))))))),IF($Y$22="Impermeable - drained for arable",IF($Y$23="550-575",IF($Y$24="Yes",'Data Tables'!AO21,'Data Tables'!AP21),IF($Y$23="575-600",IF($Y$24="Yes",'Data Tables'!AO21,'Data Tables'!AP21),IF($Y$23="600-625",IF($Y$24="Yes",'Data Tables'!AO21,'Data Tables'!AP21),IF($Y$23="625-650",IF($Y$24="Yes",'Data Tables'!AO21,'Data Tables'!AP21),IF($Y$23="650-675",IF($Y$24="Yes",'Data Tables'!AO21,'Data Tables'!AP21),IF($Y$23="675-700",IF($Y$24="Yes",'Data Tables'!AO21,'Data Tables'!AP21),IF($Y$23="700-750",IF($Y$24="Yes",'Data Tables'!AU21,'Data Tables'!AV21),IF($Y$23="750-800",IF($Y$24="Yes",'Data Tables'!AU21,'Data Tables'!AV21),IF($Y$23="800-850",IF($Y$24="Yes",'Data Tables'!AU21,'Data Tables'!AV21),IF($Y$24="Yes",'Data Tables'!AU21,'Data Tables'!AV21)))))))))),IF($Y$23="550-575",IF($Y$24="Yes",'Data Tables'!AQ21,'Data Tables'!AR21),IF($Y$23="575-600",IF($Y$24="Yes",'Data Tables'!AQ21,'Data Tables'!AR21),IF($Y$23="600-625",IF($Y$24="Yes",'Data Tables'!AQ21,'Data Tables'!AR21),IF($Y$23="625-650",IF($Y$24="Yes",'Data Tables'!AQ21,'Data Tables'!AR21),IF($Y$23="650-675",IF($Y$24="Yes",'Data Tables'!AQ21,'Data Tables'!AR21),IF($Y$23="675-700",IF($Y$24="Yes",'Data Tables'!AQ21,'Data Tables'!AR21),IF($Y$23="700-750",IF($Y$24="Yes",'Data Tables'!AW21,'Data Tables'!AX21),IF($Y$23="750-800",IF($Y$24="Yes",'Data Tables'!AW21,'Data Tables'!AX21),IF($Y$23="800-850",IF($Y$24="Yes",'Data Tables'!AW21,'Data Tables'!AX21),IF($Y$24="Yes",'Data Tables'!AW21,'Data Tables'!AX21))))))))))))),(IF($Y$22="Freely draining",IF($Y$23="550-575",IF($Y$24="Yes",'Data Tables'!AG32,'Data Tables'!AH32),IF($Y$23="575-600",IF($Y$24="Yes",'Data Tables'!AG32,'Data Tables'!AH32),IF($Y$23="600-625",IF($Y$24="Yes",'Data Tables'!AM32,'Data Tables'!AN32),IF($Y$23="625-650",IF($Y$24="Yes",'Data Tables'!AM32,'Data Tables'!AN32),IF($Y$23="650-675",IF($Y$24="Yes",'Data Tables'!AM32,'Data Tables'!AN32),IF($Y$23="675-700",IF($Y$24="Yes",'Data Tables'!AM32,'Data Tables'!AN32),IF($Y$23="700-750",IF($Y$24="Yes",'Data Tables'!AS32,'Data Tables'!AT32),IF($Y$23="750-800",IF($Y$24="Yes",'Data Tables'!AS32,'Data Tables'!AT32),IF($Y$23="800-850",IF($Y$24="Yes",'Data Tables'!AS32,'Data Tables'!AT32),IF($Y$24="Yes",'Data Tables'!AS32,'Data Tables'!AT32)))))))))),IF($Y$22="Impermeable - drained for arable",IF($Y$23="550-575",IF($Y$24="Yes",'Data Tables'!AI32,'Data Tables'!AJ32),IF($Y$23="575-600",IF($Y$24="Yes",'Data Tables'!AI32,'Data Tables'!AJ32),IF($Y$23="600-625",IF($Y$24="Yes",'Data Tables'!AO32,'Data Tables'!AP32),IF($Y$23="625-650",IF($Y$24="Yes",'Data Tables'!AO32,'Data Tables'!AP32),IF($Y$23="650-675",IF($Y$24="Yes",'Data Tables'!AO32,'Data Tables'!AP32),IF($Y$23="675-700",IF($Y$24="Yes",'Data Tables'!AO32,'Data Tables'!AP32),IF($Y$23="700-750",IF($Y$24="Yes",'Data Tables'!AU32,'Data Tables'!AV32),IF($Y$23="750-800",IF($Y$24="Yes",'Data Tables'!AU32,'Data Tables'!AV32),IF($Y$23="800-850",IF($Y$24="Yes",'Data Tables'!AU32,'Data Tables'!AV32),IF($Y$24="Yes",'Data Tables'!AU32,'Data Tables'!AV32)))))))))),IF($Y$23="550-575",IF($Y$24="Yes",'Data Tables'!AK32,'Data Tables'!AL32),IF($Y$23="575-600",IF($Y$24="Yes",'Data Tables'!AK32,'Data Tables'!AL32),IF($Y$23="600-625",IF($Y$24="Yes",'Data Tables'!AQ32,'Data Tables'!AR32),IF($Y$23="625-650",IF($Y$24="Yes",'Data Tables'!AQ32,'Data Tables'!AR32),IF($Y$23="650-675",IF($Y$24="Yes",'Data Tables'!AQ32,'Data Tables'!AR32),IF($Y$23="675-700",IF($Y$24="Yes",'Data Tables'!AQ32,'Data Tables'!AR32),IF($Y$23="700-750",IF($Y$24="Yes",'Data Tables'!AW32,'Data Tables'!AX32),IF($Y$23="750-800",IF($Y$24="Yes",'Data Tables'!AW32,'Data Tables'!AX32),IF($Y$23="800-850",IF($Y$24="Yes",'Data Tables'!AW32,'Data Tables'!AX32),IF($Y$24="Yes",'Data Tables'!AW32,'Data Tables'!AX32))))))))))))))),0),"")</f>
        <v/>
      </c>
      <c r="AC37" s="357"/>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 customHeight="1" x14ac:dyDescent="0.35">
      <c r="B38" s="52"/>
      <c r="C38" s="48"/>
      <c r="D38" s="250"/>
      <c r="E38" s="518" t="str">
        <f>'Stage 2'!F33</f>
        <v>Cereals</v>
      </c>
      <c r="F38" s="518"/>
      <c r="G38" s="518"/>
      <c r="H38" s="518"/>
      <c r="I38" s="518"/>
      <c r="J38" s="56"/>
      <c r="K38" s="363" t="str">
        <f>IF('Stage 2'!$K33&gt;0,'Stage 2'!O33/'Stage 2'!$K33,"")</f>
        <v/>
      </c>
      <c r="L38" s="365"/>
      <c r="M38" s="304" t="str">
        <f>IF('Stage 2'!$K33&gt;0,'Stage 2'!Q33/'Stage 2'!$K33,"")</f>
        <v/>
      </c>
      <c r="N38" s="358" t="s">
        <v>62</v>
      </c>
      <c r="O38" s="265" t="s">
        <v>81</v>
      </c>
      <c r="P38" s="285"/>
      <c r="Q38" s="56"/>
      <c r="R38" s="262"/>
      <c r="S38" s="262"/>
      <c r="T38" s="518" t="str">
        <f t="shared" si="0"/>
        <v>Cereals</v>
      </c>
      <c r="U38" s="518"/>
      <c r="V38" s="518"/>
      <c r="W38" s="518"/>
      <c r="X38" s="518"/>
      <c r="Y38" s="358" t="s">
        <v>62</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Tables'!AM11,'Data Tables'!AN11),IF($Y$23="575-600",IF($Y$24="Yes",'Data Tables'!AM11,'Data Tables'!AN11),IF($Y$23="600-625",IF($Y$24="Yes",'Data Tables'!AM11,'Data Tables'!AN11),IF($Y$23="625-650",IF($Y$24="Yes",'Data Tables'!AM11,'Data Tables'!AN11),IF($Y$23="650-675",IF($Y$24="Yes",'Data Tables'!AM11,'Data Tables'!AN11),IF($Y$23="675-700",IF($Y$24="Yes",'Data Tables'!AM11,'Data Tables'!AN11),IF($Y$23="700-750",IF($Y$24="Yes",'Data Tables'!AS11,'Data Tables'!AT11),IF($Y$23="750-800",IF($Y$24="Yes",'Data Tables'!AS11,'Data Tables'!AT11),IF($Y$23="800-850",IF($Y$24="Yes",'Data Tables'!AS11,'Data Tables'!AT11),IF($Y$24="Yes",'Data Tables'!AS11,'Data Tables'!AT11)))))))))),IF($Y$22="Impermeable - drained for arable",IF($Y$23="550-575",IF($Y$24="Yes",'Data Tables'!AO11,'Data Tables'!AP11),IF($Y$23="575-600",IF($Y$24="Yes",'Data Tables'!AO11,'Data Tables'!AP11),IF($Y$23="600-625",IF($Y$24="Yes",'Data Tables'!AO11,'Data Tables'!AP11),IF($Y$23="625-650",IF($Y$24="Yes",'Data Tables'!AO11,'Data Tables'!AP11),IF($Y$23="650-675",IF($Y$24="Yes",'Data Tables'!AO11,'Data Tables'!AP11),IF($Y$23="675-700",IF($Y$24="Yes",'Data Tables'!AO11,'Data Tables'!AP11),IF($Y$23="700-750",IF($Y$24="Yes",'Data Tables'!AU11,'Data Tables'!AV11),IF($Y$23="750-800",IF($Y$24="Yes",'Data Tables'!AU11,'Data Tables'!AV11),IF($Y$23="800-850",IF($Y$24="Yes",'Data Tables'!AU11,'Data Tables'!AV11),IF($Y$24="Yes",'Data Tables'!AU11,'Data Tables'!AV11)))))))))),IF($Y$23="550-575",IF($Y$24="Yes",'Data Tables'!AQ11,'Data Tables'!AR11),IF($Y$23="575-600",IF($Y$24="Yes",'Data Tables'!AQ11,'Data Tables'!AR11),IF($Y$23="600-625",IF($Y$24="Yes",'Data Tables'!AQ11,'Data Tables'!AR11),IF($Y$23="625-650",IF($Y$24="Yes",'Data Tables'!AQ11,'Data Tables'!AR11),IF($Y$23="650-675",IF($Y$24="Yes",'Data Tables'!AQ11,'Data Tables'!AR11),IF($Y$23="675-700",IF($Y$24="Yes",'Data Tables'!AQ11,'Data Tables'!AR11),IF($Y$23="700-750",IF($Y$24="Yes",'Data Tables'!AW11,'Data Tables'!AX11),IF($Y$23="750-800",IF($Y$24="Yes",'Data Tables'!AW11,'Data Tables'!AX11),IF($Y$23="800-850",IF($Y$24="Yes",'Data Tables'!AW11,'Data Tables'!AX11),IF($Y$24="Yes",'Data Tables'!AW11,'Data Tables'!AX11))))))))))))),IF($Y$21="Yare",(IF($Y$22="Freely draining",IF($Y$23="550-575",IF($Y$24="Yes",'Data Tables'!AM22,'Data Tables'!AN22),IF($Y$23="575-600",IF($Y$24="Yes",'Data Tables'!AM22,'Data Tables'!AN22),IF($Y$23="600-625",IF($Y$24="Yes",'Data Tables'!AM22,'Data Tables'!AN22),IF($Y$23="625-650",IF($Y$24="Yes",'Data Tables'!AM22,'Data Tables'!AN22),IF($Y$23="650-675",IF($Y$24="Yes",'Data Tables'!AM22,'Data Tables'!AN22),IF($Y$23="675-700",IF($Y$24="Yes",'Data Tables'!AM22,'Data Tables'!AN22),IF($Y$23="700-750",IF($Y$24="Yes",'Data Tables'!AS22,'Data Tables'!AT22),IF($Y$23="750-800",IF($Y$24="Yes",'Data Tables'!AS22,'Data Tables'!AT22),IF($Y$23="800-850",IF($Y$24="Yes",'Data Tables'!AS22,'Data Tables'!AT22),IF($Y$24="Yes",'Data Tables'!AS22,'Data Tables'!AT22)))))))))),IF($Y$22="Impermeable - drained for arable",IF($Y$23="550-575",IF($Y$24="Yes",'Data Tables'!AO22,'Data Tables'!AP22),IF($Y$23="575-600",IF($Y$24="Yes",'Data Tables'!AO22,'Data Tables'!AP22),IF($Y$23="600-625",IF($Y$24="Yes",'Data Tables'!AO22,'Data Tables'!AP22),IF($Y$23="625-650",IF($Y$24="Yes",'Data Tables'!AO22,'Data Tables'!AP22),IF($Y$23="650-675",IF($Y$24="Yes",'Data Tables'!AO22,'Data Tables'!AP22),IF($Y$23="675-700",IF($Y$24="Yes",'Data Tables'!AO22,'Data Tables'!AP22),IF($Y$23="700-750",IF($Y$24="Yes",'Data Tables'!AU22,'Data Tables'!AV22),IF($Y$23="750-800",IF($Y$24="Yes",'Data Tables'!AU22,'Data Tables'!AV22),IF($Y$23="800-850",IF($Y$24="Yes",'Data Tables'!AU22,'Data Tables'!AV22),IF($Y$24="Yes",'Data Tables'!AU22,'Data Tables'!AV22)))))))))),IF($Y$23="550-575",IF($Y$24="Yes",'Data Tables'!AQ22,'Data Tables'!AR22),IF($Y$23="575-600",IF($Y$24="Yes",'Data Tables'!AQ22,'Data Tables'!AR22),IF($Y$23="600-625",IF($Y$24="Yes",'Data Tables'!AQ22,'Data Tables'!AR22),IF($Y$23="625-650",IF($Y$24="Yes",'Data Tables'!AQ22,'Data Tables'!AR22),IF($Y$23="650-675",IF($Y$24="Yes",'Data Tables'!AQ22,'Data Tables'!AR22),IF($Y$23="675-700",IF($Y$24="Yes",'Data Tables'!AQ22,'Data Tables'!AR22),IF($Y$23="700-750",IF($Y$24="Yes",'Data Tables'!AW22,'Data Tables'!AX22),IF($Y$23="750-800",IF($Y$24="Yes",'Data Tables'!AW22,'Data Tables'!AX22),IF($Y$23="800-850",IF($Y$24="Yes",'Data Tables'!AW22,'Data Tables'!AX22),IF($Y$24="Yes",'Data Tables'!AW22,'Data Tables'!AX22))))))))))))),(IF($Y$22="Freely draining",IF($Y$23="550-575",IF($Y$24="Yes",'Data Tables'!AG33,'Data Tables'!AH33),IF($Y$23="575-600",IF($Y$24="Yes",'Data Tables'!AG33,'Data Tables'!AH33),IF($Y$23="600-625",IF($Y$24="Yes",'Data Tables'!AM33,'Data Tables'!AN33),IF($Y$23="625-650",IF($Y$24="Yes",'Data Tables'!AM33,'Data Tables'!AN33),IF($Y$23="650-675",IF($Y$24="Yes",'Data Tables'!AM33,'Data Tables'!AN33),IF($Y$23="675-700",IF($Y$24="Yes",'Data Tables'!AM33,'Data Tables'!AN33),IF($Y$23="700-750",IF($Y$24="Yes",'Data Tables'!AS33,'Data Tables'!AT33),IF($Y$23="750-800",IF($Y$24="Yes",'Data Tables'!AS33,'Data Tables'!AT33),IF($Y$23="800-850",IF($Y$24="Yes",'Data Tables'!AS33,'Data Tables'!AT33),IF($Y$24="Yes",'Data Tables'!AS33,'Data Tables'!AT33)))))))))),IF($Y$22="Impermeable - drained for arable",IF($Y$23="550-575",IF($Y$24="Yes",'Data Tables'!AI33,'Data Tables'!AJ33),IF($Y$23="575-600",IF($Y$24="Yes",'Data Tables'!AI33,'Data Tables'!AJ33),IF($Y$23="600-625",IF($Y$24="Yes",'Data Tables'!AO33,'Data Tables'!AP33),IF($Y$23="625-650",IF($Y$24="Yes",'Data Tables'!AO33,'Data Tables'!AP33),IF($Y$23="650-675",IF($Y$24="Yes",'Data Tables'!AO33,'Data Tables'!AP33),IF($Y$23="675-700",IF($Y$24="Yes",'Data Tables'!AO33,'Data Tables'!AP33),IF($Y$23="700-750",IF($Y$24="Yes",'Data Tables'!AU33,'Data Tables'!AV33),IF($Y$23="750-800",IF($Y$24="Yes",'Data Tables'!AU33,'Data Tables'!AV33),IF($Y$23="800-850",IF($Y$24="Yes",'Data Tables'!AU33,'Data Tables'!AV33),IF($Y$24="Yes",'Data Tables'!AU33,'Data Tables'!AV33)))))))))),IF($Y$23="550-575",IF($Y$24="Yes",'Data Tables'!AK33,'Data Tables'!AL33),IF($Y$23="575-600",IF($Y$24="Yes",'Data Tables'!AK33,'Data Tables'!AL33),IF($Y$23="600-625",IF($Y$24="Yes",'Data Tables'!AQ33,'Data Tables'!AR33),IF($Y$23="625-650",IF($Y$24="Yes",'Data Tables'!AQ33,'Data Tables'!AR33),IF($Y$23="650-675",IF($Y$24="Yes",'Data Tables'!AQ33,'Data Tables'!AR33),IF($Y$23="675-700",IF($Y$24="Yes",'Data Tables'!AQ33,'Data Tables'!AR33),IF($Y$23="700-750",IF($Y$24="Yes",'Data Tables'!AW33,'Data Tables'!AX33),IF($Y$23="750-800",IF($Y$24="Yes",'Data Tables'!AW33,'Data Tables'!AX33),IF($Y$23="800-850",IF($Y$24="Yes",'Data Tables'!AW33,'Data Tables'!AX33),IF($Y$24="Yes",'Data Tables'!AW33,'Data Tables'!AX33))))))))))))))),0),"")</f>
        <v/>
      </c>
      <c r="AC38" s="357"/>
      <c r="AD38" s="14"/>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 customHeight="1" x14ac:dyDescent="0.35">
      <c r="B39" s="52"/>
      <c r="C39" s="48"/>
      <c r="D39" s="250"/>
      <c r="E39" s="518" t="str">
        <f>'Stage 2'!F34</f>
        <v>General arable</v>
      </c>
      <c r="F39" s="518"/>
      <c r="G39" s="518"/>
      <c r="H39" s="518"/>
      <c r="I39" s="518"/>
      <c r="J39" s="56"/>
      <c r="K39" s="363" t="str">
        <f>IF('Stage 2'!$K34&gt;0,'Stage 2'!O34/'Stage 2'!$K34,"")</f>
        <v/>
      </c>
      <c r="L39" s="365"/>
      <c r="M39" s="304" t="str">
        <f>IF('Stage 2'!$K34&gt;0,'Stage 2'!Q34/'Stage 2'!$K34,"")</f>
        <v/>
      </c>
      <c r="N39" s="358" t="s">
        <v>62</v>
      </c>
      <c r="O39" s="265" t="s">
        <v>81</v>
      </c>
      <c r="P39" s="285"/>
      <c r="Q39" s="56"/>
      <c r="R39" s="262"/>
      <c r="S39" s="262"/>
      <c r="T39" s="518" t="str">
        <f t="shared" si="0"/>
        <v>General arable</v>
      </c>
      <c r="U39" s="518"/>
      <c r="V39" s="518"/>
      <c r="W39" s="518"/>
      <c r="X39" s="518"/>
      <c r="Y39" s="358" t="s">
        <v>62</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Tables'!AM12,'Data Tables'!AN12),IF($Y$23="575-600",IF($Y$24="Yes",'Data Tables'!AM12,'Data Tables'!AN12),IF($Y$23="600-625",IF($Y$24="Yes",'Data Tables'!AM12,'Data Tables'!AN12),IF($Y$23="625-650",IF($Y$24="Yes",'Data Tables'!AM12,'Data Tables'!AN12),IF($Y$23="650-675",IF($Y$24="Yes",'Data Tables'!AM12,'Data Tables'!AN12),IF($Y$23="675-700",IF($Y$24="Yes",'Data Tables'!AM12,'Data Tables'!AN12),IF($Y$23="700-750",IF($Y$24="Yes",'Data Tables'!AS12,'Data Tables'!AT12),IF($Y$23="750-800",IF($Y$24="Yes",'Data Tables'!AS12,'Data Tables'!AT12),IF($Y$23="800-850",IF($Y$24="Yes",'Data Tables'!AS12,'Data Tables'!AT12),IF($Y$24="Yes",'Data Tables'!AS12,'Data Tables'!AT12)))))))))),IF($Y$22="Impermeable - drained for arable",IF($Y$23="550-575",IF($Y$24="Yes",'Data Tables'!AO12,'Data Tables'!AP12),IF($Y$23="575-600",IF($Y$24="Yes",'Data Tables'!AO12,'Data Tables'!AP12),IF($Y$23="600-625",IF($Y$24="Yes",'Data Tables'!AO12,'Data Tables'!AP12),IF($Y$23="625-650",IF($Y$24="Yes",'Data Tables'!AO12,'Data Tables'!AP12),IF($Y$23="650-675",IF($Y$24="Yes",'Data Tables'!AO12,'Data Tables'!AP12),IF($Y$23="675-700",IF($Y$24="Yes",'Data Tables'!AO12,'Data Tables'!AP12),IF($Y$23="700-750",IF($Y$24="Yes",'Data Tables'!AU12,'Data Tables'!AV12),IF($Y$23="750-800",IF($Y$24="Yes",'Data Tables'!AU12,'Data Tables'!AV12),IF($Y$23="800-850",IF($Y$24="Yes",'Data Tables'!AU12,'Data Tables'!AV12),IF($Y$24="Yes",'Data Tables'!AU12,'Data Tables'!AV12)))))))))),IF($Y$23="550-575",IF($Y$24="Yes",'Data Tables'!AQ12,'Data Tables'!AR12),IF($Y$23="575-600",IF($Y$24="Yes",'Data Tables'!AQ12,'Data Tables'!AR12),IF($Y$23="600-625",IF($Y$24="Yes",'Data Tables'!AQ12,'Data Tables'!AR12),IF($Y$23="625-650",IF($Y$24="Yes",'Data Tables'!AQ12,'Data Tables'!AR12),IF($Y$23="650-675",IF($Y$24="Yes",'Data Tables'!AQ12,'Data Tables'!AR12),IF($Y$23="675-700",IF($Y$24="Yes",'Data Tables'!AQ12,'Data Tables'!AR12),IF($Y$23="700-750",IF($Y$24="Yes",'Data Tables'!AW12,'Data Tables'!AX12),IF($Y$23="750-800",IF($Y$24="Yes",'Data Tables'!AW12,'Data Tables'!AX12),IF($Y$23="800-850",IF($Y$24="Yes",'Data Tables'!AW12,'Data Tables'!AX12),IF($Y$24="Yes",'Data Tables'!AW12,'Data Tables'!AX12))))))))))))),IF($Y$21="Yare",(IF($Y$22="Freely draining",IF($Y$23="550-575",IF($Y$24="Yes",'Data Tables'!AM23,'Data Tables'!AN23),IF($Y$23="575-600",IF($Y$24="Yes",'Data Tables'!AM23,'Data Tables'!AN23),IF($Y$23="600-625",IF($Y$24="Yes",'Data Tables'!AM23,'Data Tables'!AN23),IF($Y$23="625-650",IF($Y$24="Yes",'Data Tables'!AM23,'Data Tables'!AN23),IF($Y$23="650-675",IF($Y$24="Yes",'Data Tables'!AM23,'Data Tables'!AN23),IF($Y$23="675-700",IF($Y$24="Yes",'Data Tables'!AM23,'Data Tables'!AN23),IF($Y$23="700-750",IF($Y$24="Yes",'Data Tables'!AS23,'Data Tables'!AT23),IF($Y$23="750-800",IF($Y$24="Yes",'Data Tables'!AS23,'Data Tables'!AT23),IF($Y$23="800-850",IF($Y$24="Yes",'Data Tables'!AS23,'Data Tables'!AT23),IF($Y$24="Yes",'Data Tables'!AS23,'Data Tables'!AT23)))))))))),IF($Y$22="Impermeable - drained for arable",IF($Y$23="550-575",IF($Y$24="Yes",'Data Tables'!AO23,'Data Tables'!AP23),IF($Y$23="575-600",IF($Y$24="Yes",'Data Tables'!AO23,'Data Tables'!AP23),IF($Y$23="600-625",IF($Y$24="Yes",'Data Tables'!AO23,'Data Tables'!AP23),IF($Y$23="625-650",IF($Y$24="Yes",'Data Tables'!AO23,'Data Tables'!AP23),IF($Y$23="650-675",IF($Y$24="Yes",'Data Tables'!AO23,'Data Tables'!AP23),IF($Y$23="675-700",IF($Y$24="Yes",'Data Tables'!AO23,'Data Tables'!AP23),IF($Y$23="700-750",IF($Y$24="Yes",'Data Tables'!AU23,'Data Tables'!AV23),IF($Y$23="750-800",IF($Y$24="Yes",'Data Tables'!AU23,'Data Tables'!AV23),IF($Y$23="800-850",IF($Y$24="Yes",'Data Tables'!AU23,'Data Tables'!AV23),IF($Y$24="Yes",'Data Tables'!AU23,'Data Tables'!AV23)))))))))),IF($Y$23="550-575",IF($Y$24="Yes",'Data Tables'!AQ23,'Data Tables'!AR23),IF($Y$23="575-600",IF($Y$24="Yes",'Data Tables'!AQ23,'Data Tables'!AR23),IF($Y$23="600-625",IF($Y$24="Yes",'Data Tables'!AQ23,'Data Tables'!AR23),IF($Y$23="625-650",IF($Y$24="Yes",'Data Tables'!AQ23,'Data Tables'!AR23),IF($Y$23="650-675",IF($Y$24="Yes",'Data Tables'!AQ23,'Data Tables'!AR23),IF($Y$23="675-700",IF($Y$24="Yes",'Data Tables'!AQ23,'Data Tables'!AR23),IF($Y$23="700-750",IF($Y$24="Yes",'Data Tables'!AW23,'Data Tables'!AX23),IF($Y$23="750-800",IF($Y$24="Yes",'Data Tables'!AW23,'Data Tables'!AX23),IF($Y$23="800-850",IF($Y$24="Yes",'Data Tables'!AW23,'Data Tables'!AX23),IF($Y$24="Yes",'Data Tables'!AW23,'Data Tables'!AX23))))))))))))),(IF($Y$22="Freely draining",IF($Y$23="550-575",IF($Y$24="Yes",'Data Tables'!AG34,'Data Tables'!AH34),IF($Y$23="575-600",IF($Y$24="Yes",'Data Tables'!AG34,'Data Tables'!AH34),IF($Y$23="600-625",IF($Y$24="Yes",'Data Tables'!AM34,'Data Tables'!AN34),IF($Y$23="625-650",IF($Y$24="Yes",'Data Tables'!AM34,'Data Tables'!AN34),IF($Y$23="650-675",IF($Y$24="Yes",'Data Tables'!AM34,'Data Tables'!AN34),IF($Y$23="675-700",IF($Y$24="Yes",'Data Tables'!AM34,'Data Tables'!AN34),IF($Y$23="700-750",IF($Y$24="Yes",'Data Tables'!AS34,'Data Tables'!AT34),IF($Y$23="750-800",IF($Y$24="Yes",'Data Tables'!AS34,'Data Tables'!AT34),IF($Y$23="800-850",IF($Y$24="Yes",'Data Tables'!AS34,'Data Tables'!AT34),IF($Y$24="Yes",'Data Tables'!AS34,'Data Tables'!AT34)))))))))),IF($Y$22="Impermeable - drained for arable",IF($Y$23="550-575",IF($Y$24="Yes",'Data Tables'!AI34,'Data Tables'!AJ34),IF($Y$23="575-600",IF($Y$24="Yes",'Data Tables'!AI34,'Data Tables'!AJ34),IF($Y$23="600-625",IF($Y$24="Yes",'Data Tables'!AO34,'Data Tables'!AP34),IF($Y$23="625-650",IF($Y$24="Yes",'Data Tables'!AO34,'Data Tables'!AP34),IF($Y$23="650-675",IF($Y$24="Yes",'Data Tables'!AO34,'Data Tables'!AP34),IF($Y$23="675-700",IF($Y$24="Yes",'Data Tables'!AO34,'Data Tables'!AP34),IF($Y$23="700-750",IF($Y$24="Yes",'Data Tables'!AU34,'Data Tables'!AV34),IF($Y$23="750-800",IF($Y$24="Yes",'Data Tables'!AU34,'Data Tables'!AV34),IF($Y$23="800-850",IF($Y$24="Yes",'Data Tables'!AU34,'Data Tables'!AV34),IF($Y$24="Yes",'Data Tables'!AU34,'Data Tables'!AV34)))))))))),IF($Y$23="550-575",IF($Y$24="Yes",'Data Tables'!AK34,'Data Tables'!AL34),IF($Y$23="575-600",IF($Y$24="Yes",'Data Tables'!AK34,'Data Tables'!AL34),IF($Y$23="600-625",IF($Y$24="Yes",'Data Tables'!AQ34,'Data Tables'!AR34),IF($Y$23="625-650",IF($Y$24="Yes",'Data Tables'!AQ34,'Data Tables'!AR34),IF($Y$23="650-675",IF($Y$24="Yes",'Data Tables'!AQ34,'Data Tables'!AR34),IF($Y$23="675-700",IF($Y$24="Yes",'Data Tables'!AQ34,'Data Tables'!AR34),IF($Y$23="700-750",IF($Y$24="Yes",'Data Tables'!AW34,'Data Tables'!AX34),IF($Y$23="750-800",IF($Y$24="Yes",'Data Tables'!AW34,'Data Tables'!AX34),IF($Y$23="800-850",IF($Y$24="Yes",'Data Tables'!AW34,'Data Tables'!AX34),IF($Y$24="Yes",'Data Tables'!AW34,'Data Tables'!AX34))))))))))))))),0),"")</f>
        <v/>
      </c>
      <c r="AC39" s="357"/>
      <c r="AD39" s="14"/>
      <c r="AF39" s="107"/>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 customHeight="1" x14ac:dyDescent="0.35">
      <c r="B40" s="52"/>
      <c r="C40" s="48"/>
      <c r="D40" s="250"/>
      <c r="E40" s="518" t="str">
        <f>'Stage 2'!F35</f>
        <v>Allotments and city farms</v>
      </c>
      <c r="F40" s="518"/>
      <c r="G40" s="518"/>
      <c r="H40" s="518"/>
      <c r="I40" s="518"/>
      <c r="J40" s="56"/>
      <c r="K40" s="323" t="str">
        <f>IF('Stage 2'!K35&gt;0,'Data Tables'!O3,"")</f>
        <v/>
      </c>
      <c r="L40" s="297"/>
      <c r="M40" s="304"/>
      <c r="N40" s="358" t="s">
        <v>62</v>
      </c>
      <c r="O40" s="265" t="s">
        <v>81</v>
      </c>
      <c r="P40" s="285"/>
      <c r="Q40" s="56"/>
      <c r="R40" s="262"/>
      <c r="S40" s="262"/>
      <c r="T40" s="518" t="str">
        <f t="shared" si="0"/>
        <v>Allotments and city farms</v>
      </c>
      <c r="U40" s="518"/>
      <c r="V40" s="518"/>
      <c r="W40" s="518"/>
      <c r="X40" s="518"/>
      <c r="Y40" s="358" t="s">
        <v>62</v>
      </c>
      <c r="Z40" s="262"/>
      <c r="AA40" s="322" t="str">
        <f>IF($Y$16="Yes",(IF(Y40="Yes",'Data Tables'!O3,0)),"")</f>
        <v/>
      </c>
      <c r="AB40" s="322" t="str">
        <f>IF($Y$16="Yes",(IF(Z40="Yes",'Data Tables'!P3,0)),"")</f>
        <v/>
      </c>
      <c r="AC40" s="357"/>
      <c r="AD40" s="14"/>
      <c r="AE40" s="16"/>
      <c r="AF40" s="16"/>
      <c r="AG40" s="16"/>
      <c r="AH40" s="16"/>
      <c r="AI40" s="16"/>
      <c r="AJ40" s="16"/>
      <c r="AK40" s="16"/>
      <c r="AL40" s="16"/>
    </row>
    <row r="41" spans="2:53" ht="16" customHeight="1" x14ac:dyDescent="0.35">
      <c r="B41" s="52"/>
      <c r="C41" s="48"/>
      <c r="D41" s="250"/>
      <c r="E41" s="518" t="str">
        <f>'Stage 2'!F36</f>
        <v>Woodland (e.g. conifer, mixed, broad-leaved)</v>
      </c>
      <c r="F41" s="518"/>
      <c r="G41" s="518"/>
      <c r="H41" s="518"/>
      <c r="I41" s="518"/>
      <c r="J41" s="56"/>
      <c r="K41" s="323" t="str">
        <f>IF('Stage 2'!K36&gt;0,'Data Tables'!O5,"")</f>
        <v/>
      </c>
      <c r="L41" s="297"/>
      <c r="M41" s="304"/>
      <c r="N41" s="358" t="s">
        <v>62</v>
      </c>
      <c r="O41" s="265" t="s">
        <v>81</v>
      </c>
      <c r="P41" s="285"/>
      <c r="Q41" s="56"/>
      <c r="R41" s="262"/>
      <c r="S41" s="262"/>
      <c r="T41" s="518" t="str">
        <f t="shared" si="0"/>
        <v>Woodland (e.g. conifer, mixed, broad-leaved)</v>
      </c>
      <c r="U41" s="518"/>
      <c r="V41" s="518"/>
      <c r="W41" s="518"/>
      <c r="X41" s="518"/>
      <c r="Y41" s="358" t="s">
        <v>62</v>
      </c>
      <c r="Z41" s="262"/>
      <c r="AA41" s="322" t="str">
        <f>IF($Y$16="Yes",(IF(Y41="Yes",'Data Tables'!O5,0)),"")</f>
        <v/>
      </c>
      <c r="AB41" s="322" t="str">
        <f>IF($Y$16="Yes",(IF(Z41="Yes",'Data Tables'!P5,0)),"")</f>
        <v/>
      </c>
      <c r="AC41" s="357"/>
      <c r="AD41" s="14"/>
      <c r="AE41" s="16"/>
      <c r="AF41" s="16"/>
      <c r="AG41" s="16"/>
      <c r="AH41" s="16"/>
      <c r="AI41" s="16"/>
      <c r="AJ41" s="16"/>
      <c r="AK41" s="16"/>
      <c r="AL41" s="16"/>
    </row>
    <row r="42" spans="2:53" ht="16" customHeight="1" x14ac:dyDescent="0.35">
      <c r="B42" s="52"/>
      <c r="C42" s="48"/>
      <c r="D42" s="250"/>
      <c r="E42" s="518" t="str">
        <f>'Stage 2'!F37</f>
        <v>Greenspace</v>
      </c>
      <c r="F42" s="518"/>
      <c r="G42" s="518"/>
      <c r="H42" s="518"/>
      <c r="I42" s="518"/>
      <c r="J42" s="56"/>
      <c r="K42" s="323" t="str">
        <f>IF('Stage 2'!K37&gt;0,'Data Tables'!O4,"")</f>
        <v/>
      </c>
      <c r="L42" s="297"/>
      <c r="M42" s="304"/>
      <c r="N42" s="358" t="s">
        <v>62</v>
      </c>
      <c r="O42" s="265" t="s">
        <v>81</v>
      </c>
      <c r="P42" s="285"/>
      <c r="Q42" s="56"/>
      <c r="R42" s="262"/>
      <c r="S42" s="262"/>
      <c r="T42" s="518" t="str">
        <f t="shared" si="0"/>
        <v>Greenspace</v>
      </c>
      <c r="U42" s="518"/>
      <c r="V42" s="518"/>
      <c r="W42" s="518"/>
      <c r="X42" s="518"/>
      <c r="Y42" s="358" t="s">
        <v>62</v>
      </c>
      <c r="Z42" s="262"/>
      <c r="AA42" s="322" t="str">
        <f>IF($Y$16="Yes",(IF(Y42="Yes",'Data Tables'!O4,0)),"")</f>
        <v/>
      </c>
      <c r="AB42" s="322" t="str">
        <f>IF($Y$16="Yes",(IF(Z42="Yes",'Data Tables'!P4,0)),"")</f>
        <v/>
      </c>
      <c r="AC42" s="357"/>
      <c r="AD42" s="14"/>
      <c r="AE42" s="16"/>
      <c r="AF42" s="16"/>
      <c r="AG42" s="16"/>
      <c r="AH42" s="16"/>
      <c r="AI42" s="16"/>
      <c r="AJ42" s="16"/>
      <c r="AK42" s="16"/>
      <c r="AL42" s="16"/>
    </row>
    <row r="43" spans="2:53" ht="16" customHeight="1" x14ac:dyDescent="0.35">
      <c r="B43" s="52"/>
      <c r="C43" s="48"/>
      <c r="D43" s="250"/>
      <c r="E43" s="518" t="str">
        <f>'Stage 2'!F38</f>
        <v>Shrub / heathland / bracken / bog</v>
      </c>
      <c r="F43" s="518"/>
      <c r="G43" s="518"/>
      <c r="H43" s="518"/>
      <c r="I43" s="518"/>
      <c r="J43" s="56"/>
      <c r="K43" s="323" t="str">
        <f>IF('Stage 2'!K38&gt;0,'Data Tables'!O6,"")</f>
        <v/>
      </c>
      <c r="L43" s="297"/>
      <c r="M43" s="304"/>
      <c r="N43" s="358" t="s">
        <v>62</v>
      </c>
      <c r="O43" s="265" t="s">
        <v>81</v>
      </c>
      <c r="P43" s="285"/>
      <c r="Q43" s="56"/>
      <c r="R43" s="262"/>
      <c r="S43" s="262"/>
      <c r="T43" s="518" t="str">
        <f t="shared" si="0"/>
        <v>Shrub / heathland / bracken / bog</v>
      </c>
      <c r="U43" s="518"/>
      <c r="V43" s="518"/>
      <c r="W43" s="518"/>
      <c r="X43" s="518"/>
      <c r="Y43" s="358" t="s">
        <v>62</v>
      </c>
      <c r="Z43" s="262"/>
      <c r="AA43" s="322" t="str">
        <f>IF($Y$16="Yes",(IF(Y43="Yes",'Data Tables'!O6,0)),"")</f>
        <v/>
      </c>
      <c r="AB43" s="322" t="str">
        <f>IF($Y$16="Yes",(IF(Z43="Yes",'Data Tables'!P6,0)),"")</f>
        <v/>
      </c>
      <c r="AC43" s="357"/>
      <c r="AD43" s="14"/>
      <c r="AE43" s="16"/>
      <c r="AF43" s="16"/>
      <c r="AG43" s="16"/>
      <c r="AH43" s="16"/>
      <c r="AI43" s="16"/>
      <c r="AJ43" s="16"/>
      <c r="AK43" s="16"/>
      <c r="AL43" s="16"/>
    </row>
    <row r="44" spans="2:53" ht="15" customHeight="1" x14ac:dyDescent="0.35">
      <c r="B44" s="52"/>
      <c r="C44" s="48"/>
      <c r="D44" s="250"/>
      <c r="E44" s="518" t="str">
        <f>'Stage 2'!F39</f>
        <v>Water</v>
      </c>
      <c r="F44" s="518"/>
      <c r="G44" s="518"/>
      <c r="H44" s="518"/>
      <c r="I44" s="518"/>
      <c r="J44" s="56"/>
      <c r="K44" s="323" t="str">
        <f>IF('Stage 2'!K39&gt;0,'Data Tables'!O7,"")</f>
        <v/>
      </c>
      <c r="L44" s="297"/>
      <c r="M44" s="304"/>
      <c r="N44" s="358" t="s">
        <v>62</v>
      </c>
      <c r="O44" s="265" t="s">
        <v>81</v>
      </c>
      <c r="P44" s="285"/>
      <c r="Q44" s="56"/>
      <c r="R44" s="262"/>
      <c r="S44" s="262"/>
      <c r="T44" s="518" t="str">
        <f t="shared" si="0"/>
        <v>Water</v>
      </c>
      <c r="U44" s="518"/>
      <c r="V44" s="518"/>
      <c r="W44" s="518"/>
      <c r="X44" s="518"/>
      <c r="Y44" s="358" t="s">
        <v>62</v>
      </c>
      <c r="Z44" s="262"/>
      <c r="AA44" s="322" t="str">
        <f>IF($Y$16="Yes",(IF(Y44="Yes",'Data Tables'!O7,0)),"")</f>
        <v/>
      </c>
      <c r="AB44" s="322" t="str">
        <f>IF($Y$16="Yes",(IF(Z44="Yes",'Data Tables'!P7,0)),"")</f>
        <v/>
      </c>
      <c r="AC44" s="357"/>
      <c r="AD44" s="14"/>
      <c r="AE44" s="16"/>
      <c r="AF44" s="16"/>
      <c r="AG44" s="16"/>
      <c r="AH44" s="16"/>
      <c r="AI44" s="16"/>
      <c r="AJ44" s="16"/>
      <c r="AK44" s="16"/>
      <c r="AL44" s="16"/>
    </row>
    <row r="45" spans="2:53" ht="16" customHeight="1" x14ac:dyDescent="0.35">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436</v>
      </c>
      <c r="Z45" s="287" t="s">
        <v>437</v>
      </c>
      <c r="AA45" s="56"/>
      <c r="AB45" s="262"/>
      <c r="AC45" s="357"/>
      <c r="AD45" s="14"/>
      <c r="AE45" s="16"/>
      <c r="AF45" s="16"/>
      <c r="AG45" s="16"/>
      <c r="AH45" s="16"/>
      <c r="AI45" s="16"/>
      <c r="AJ45" s="16"/>
      <c r="AK45" s="16"/>
      <c r="AL45" s="16"/>
    </row>
    <row r="46" spans="2:53" ht="17.5" customHeight="1" x14ac:dyDescent="0.35">
      <c r="B46" s="52"/>
      <c r="C46" s="48"/>
      <c r="D46" s="250"/>
      <c r="E46" s="514" t="s">
        <v>89</v>
      </c>
      <c r="F46" s="514"/>
      <c r="G46" s="514"/>
      <c r="H46" s="514"/>
      <c r="I46" s="514"/>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14" t="s">
        <v>90</v>
      </c>
      <c r="U46" s="514"/>
      <c r="V46" s="514"/>
      <c r="W46" s="514"/>
      <c r="X46" s="514"/>
      <c r="Y46" s="326">
        <f>IF(Y16="Yes",SUM(AA27:AA44)/(COUNTIF(Y27:Y44,"Yes")),0)</f>
        <v>0</v>
      </c>
      <c r="Z46" s="326">
        <f>IF(Y16="Yes",SUM(AB27:AB44)/(COUNTIF(Y27:Y44,"Yes")),0)</f>
        <v>0</v>
      </c>
      <c r="AA46" s="249"/>
      <c r="AB46" s="249"/>
      <c r="AC46" s="357"/>
      <c r="AD46" s="14"/>
      <c r="AE46" s="16"/>
      <c r="AF46" s="16"/>
      <c r="AG46" s="16"/>
      <c r="AH46" s="16"/>
      <c r="AI46" s="16"/>
      <c r="AJ46" s="16"/>
      <c r="AK46" s="16"/>
      <c r="AL46" s="16"/>
    </row>
    <row r="47" spans="2:53" ht="16" customHeight="1" x14ac:dyDescent="0.35">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6"/>
      <c r="Z47" s="262"/>
      <c r="AA47" s="367"/>
      <c r="AB47" s="367"/>
      <c r="AC47" s="357"/>
      <c r="AD47" s="14"/>
      <c r="AE47" s="16"/>
      <c r="AF47" s="16"/>
      <c r="AG47" s="16"/>
      <c r="AH47" s="16"/>
      <c r="AI47" s="16"/>
      <c r="AJ47" s="16"/>
      <c r="AK47" s="16"/>
      <c r="AL47" s="16"/>
    </row>
    <row r="48" spans="2:53" ht="16" customHeight="1" x14ac:dyDescent="0.35">
      <c r="B48" s="52"/>
      <c r="C48" s="48"/>
      <c r="D48" s="250"/>
      <c r="E48" s="56"/>
      <c r="F48" s="44"/>
      <c r="G48" s="56"/>
      <c r="H48" s="56"/>
      <c r="I48" s="56"/>
      <c r="J48" s="56"/>
      <c r="K48" s="297"/>
      <c r="L48" s="297"/>
      <c r="M48" s="297"/>
      <c r="N48" s="262"/>
      <c r="O48" s="272"/>
      <c r="P48" s="161" t="s">
        <v>436</v>
      </c>
      <c r="Q48" s="161"/>
      <c r="R48" s="161" t="s">
        <v>437</v>
      </c>
      <c r="S48" s="56"/>
      <c r="T48" s="56"/>
      <c r="U48" s="56"/>
      <c r="V48" s="262"/>
      <c r="W48" s="262"/>
      <c r="X48" s="262"/>
      <c r="Y48" s="262"/>
      <c r="Z48" s="262"/>
      <c r="AA48" s="262"/>
      <c r="AB48" s="262"/>
      <c r="AC48" s="357"/>
      <c r="AD48" s="14"/>
      <c r="AE48" s="16"/>
      <c r="AF48" s="16"/>
      <c r="AG48" s="16"/>
      <c r="AH48" s="16"/>
      <c r="AI48" s="16"/>
      <c r="AJ48" s="16"/>
      <c r="AK48" s="16"/>
      <c r="AL48" s="16"/>
    </row>
    <row r="49" spans="2:38" ht="16" customHeight="1" x14ac:dyDescent="0.35">
      <c r="B49" s="52"/>
      <c r="C49" s="48"/>
      <c r="D49" s="250"/>
      <c r="E49" s="56"/>
      <c r="F49" s="44"/>
      <c r="G49" s="56"/>
      <c r="H49" s="56"/>
      <c r="I49" s="514" t="s">
        <v>92</v>
      </c>
      <c r="J49" s="514"/>
      <c r="K49" s="514"/>
      <c r="L49" s="514"/>
      <c r="M49" s="514"/>
      <c r="N49" s="514"/>
      <c r="O49" s="514"/>
      <c r="P49" s="304" t="str">
        <f>IF(K46+Y46&gt;0,K46+Y46,"")</f>
        <v/>
      </c>
      <c r="Q49" s="297"/>
      <c r="R49" s="304" t="str">
        <f>IF(M46+Z46&gt;0,M46+Z46,"")</f>
        <v/>
      </c>
      <c r="S49" s="367"/>
      <c r="T49" s="56"/>
      <c r="U49" s="56"/>
      <c r="V49" s="262"/>
      <c r="W49" s="262"/>
      <c r="X49" s="262"/>
      <c r="Y49" s="262"/>
      <c r="Z49" s="262"/>
      <c r="AA49" s="262"/>
      <c r="AB49" s="262"/>
      <c r="AC49" s="357"/>
      <c r="AD49" s="14"/>
      <c r="AE49" s="16"/>
      <c r="AF49" s="16"/>
      <c r="AG49" s="16"/>
      <c r="AH49" s="16"/>
      <c r="AI49" s="16"/>
      <c r="AJ49" s="16"/>
      <c r="AK49" s="16"/>
      <c r="AL49" s="16"/>
    </row>
    <row r="50" spans="2:38" ht="16" customHeight="1" thickBot="1" x14ac:dyDescent="0.4">
      <c r="B50" s="52"/>
      <c r="C50" s="48"/>
      <c r="D50" s="368"/>
      <c r="E50" s="274"/>
      <c r="F50" s="274"/>
      <c r="G50" s="274"/>
      <c r="H50" s="274"/>
      <c r="I50" s="274"/>
      <c r="J50" s="274"/>
      <c r="K50" s="274"/>
      <c r="L50" s="274"/>
      <c r="M50" s="274"/>
      <c r="N50" s="274"/>
      <c r="O50" s="274"/>
      <c r="P50" s="274"/>
      <c r="Q50" s="274"/>
      <c r="R50" s="274"/>
      <c r="S50" s="56"/>
      <c r="T50" s="56"/>
      <c r="U50" s="56"/>
      <c r="V50" s="369"/>
      <c r="W50" s="369"/>
      <c r="X50" s="369"/>
      <c r="Y50" s="369"/>
      <c r="Z50" s="369"/>
      <c r="AA50" s="369"/>
      <c r="AB50" s="369"/>
      <c r="AC50" s="370"/>
      <c r="AD50" s="14"/>
      <c r="AE50" s="16"/>
      <c r="AF50" s="16"/>
      <c r="AG50" s="16"/>
      <c r="AH50" s="16"/>
      <c r="AI50" s="16"/>
      <c r="AJ50" s="16"/>
      <c r="AK50" s="16"/>
      <c r="AL50" s="16"/>
    </row>
    <row r="51" spans="2:38" ht="11.5" customHeight="1" x14ac:dyDescent="0.3">
      <c r="B51" s="52"/>
      <c r="C51" s="48"/>
      <c r="D51" s="56"/>
      <c r="E51" s="56"/>
      <c r="F51" s="56"/>
      <c r="G51" s="56"/>
      <c r="H51" s="56"/>
      <c r="I51" s="56"/>
      <c r="J51" s="56"/>
      <c r="K51" s="56"/>
      <c r="L51" s="56"/>
      <c r="M51" s="56"/>
      <c r="N51" s="56"/>
      <c r="O51" s="56"/>
      <c r="P51" s="56"/>
      <c r="Q51" s="56"/>
      <c r="R51" s="56"/>
      <c r="S51" s="56"/>
      <c r="T51" s="56"/>
      <c r="U51" s="371"/>
      <c r="V51" s="372"/>
      <c r="W51" s="372"/>
      <c r="X51" s="372"/>
      <c r="Y51" s="372"/>
      <c r="Z51" s="372"/>
      <c r="AA51" s="372"/>
      <c r="AB51" s="372"/>
      <c r="AC51" s="372"/>
      <c r="AD51" s="16"/>
    </row>
    <row r="52" spans="2:38" ht="12.65" customHeight="1" x14ac:dyDescent="0.3">
      <c r="B52" s="52"/>
      <c r="C52" s="48"/>
      <c r="D52" s="56"/>
      <c r="E52" s="54" t="s">
        <v>12</v>
      </c>
      <c r="F52" s="447" t="s">
        <v>444</v>
      </c>
      <c r="G52" s="447"/>
      <c r="H52" s="447"/>
      <c r="I52" s="447"/>
      <c r="J52" s="447"/>
      <c r="K52" s="161" t="s">
        <v>2</v>
      </c>
      <c r="L52" s="161"/>
      <c r="M52" s="161" t="s">
        <v>2</v>
      </c>
      <c r="N52" s="161" t="s">
        <v>3</v>
      </c>
      <c r="O52" s="56"/>
      <c r="P52" s="56"/>
      <c r="Q52" s="56"/>
      <c r="R52" s="56"/>
      <c r="S52" s="56"/>
      <c r="T52" s="56"/>
      <c r="U52" s="371"/>
      <c r="V52" s="372"/>
      <c r="W52" s="372"/>
      <c r="X52" s="372"/>
      <c r="Y52" s="372"/>
      <c r="Z52" s="372"/>
      <c r="AA52" s="372"/>
      <c r="AB52" s="372"/>
      <c r="AC52" s="372"/>
      <c r="AD52" s="16"/>
    </row>
    <row r="53" spans="2:38" ht="13" customHeight="1" x14ac:dyDescent="0.3">
      <c r="B53" s="52"/>
      <c r="C53" s="48"/>
      <c r="D53" s="56"/>
      <c r="E53" s="56"/>
      <c r="F53" s="56"/>
      <c r="G53" s="56"/>
      <c r="H53" s="56"/>
      <c r="I53" s="56"/>
      <c r="J53" s="56"/>
      <c r="K53" s="161" t="s">
        <v>436</v>
      </c>
      <c r="L53" s="161"/>
      <c r="M53" s="161" t="s">
        <v>437</v>
      </c>
      <c r="N53" s="56"/>
      <c r="O53" s="56"/>
      <c r="P53" s="56"/>
      <c r="Q53" s="56"/>
      <c r="R53" s="56"/>
      <c r="S53" s="56"/>
      <c r="T53" s="56"/>
      <c r="U53" s="371"/>
      <c r="V53" s="372"/>
      <c r="W53" s="372"/>
      <c r="X53" s="372"/>
      <c r="Y53" s="372"/>
      <c r="Z53" s="372"/>
      <c r="AA53" s="372"/>
      <c r="AB53" s="372"/>
      <c r="AC53" s="372"/>
      <c r="AD53" s="16"/>
    </row>
    <row r="54" spans="2:38" ht="13" customHeight="1" x14ac:dyDescent="0.3">
      <c r="B54" s="52"/>
      <c r="C54" s="48"/>
      <c r="D54" s="56"/>
      <c r="E54" s="501" t="s">
        <v>32</v>
      </c>
      <c r="F54" s="501"/>
      <c r="G54" s="501"/>
      <c r="H54" s="501"/>
      <c r="I54" s="501"/>
      <c r="J54" s="56"/>
      <c r="K54" s="373" t="e">
        <f>(1/(((P49-(-IF(K62&gt;0,K62,8))))/$K$10))</f>
        <v>#VALUE!</v>
      </c>
      <c r="L54" s="374"/>
      <c r="M54" s="373" t="e">
        <f>(1/(((R49-(-IF(M62&gt;0,M62,930))))/$K$11))</f>
        <v>#VALUE!</v>
      </c>
      <c r="N54" s="265" t="s">
        <v>17</v>
      </c>
      <c r="O54" s="56"/>
      <c r="P54" s="56"/>
      <c r="Q54" s="56"/>
      <c r="R54" s="56"/>
      <c r="S54" s="56"/>
      <c r="T54" s="56"/>
      <c r="U54" s="371"/>
      <c r="V54" s="372"/>
      <c r="W54" s="372"/>
      <c r="X54" s="372"/>
      <c r="Y54" s="372"/>
      <c r="Z54" s="372"/>
      <c r="AA54" s="372"/>
      <c r="AB54" s="372"/>
      <c r="AC54" s="372"/>
      <c r="AD54" s="16"/>
    </row>
    <row r="55" spans="2:38" ht="14.5" customHeight="1" x14ac:dyDescent="0.3">
      <c r="B55" s="52"/>
      <c r="C55" s="48"/>
      <c r="D55" s="56"/>
      <c r="E55" s="501" t="s">
        <v>489</v>
      </c>
      <c r="F55" s="501"/>
      <c r="G55" s="501"/>
      <c r="H55" s="501"/>
      <c r="I55" s="501"/>
      <c r="J55" s="56"/>
      <c r="K55" s="373"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4"/>
      <c r="M55" s="373"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1"/>
      <c r="V55" s="372"/>
      <c r="W55" s="372"/>
      <c r="X55" s="372"/>
      <c r="Y55" s="372"/>
      <c r="Z55" s="372"/>
      <c r="AA55" s="372"/>
      <c r="AB55" s="372"/>
      <c r="AC55" s="372"/>
      <c r="AD55" s="16"/>
    </row>
    <row r="56" spans="2:38" ht="14.5" customHeight="1" x14ac:dyDescent="0.3">
      <c r="B56" s="52"/>
      <c r="C56" s="48"/>
      <c r="D56" s="56"/>
      <c r="E56" s="501" t="s">
        <v>400</v>
      </c>
      <c r="F56" s="501"/>
      <c r="G56" s="501"/>
      <c r="H56" s="501"/>
      <c r="I56" s="501"/>
      <c r="J56" s="161"/>
      <c r="K56" s="373" t="e">
        <f>(1/(($P$49-'Data Tables'!O7)/$K$10))</f>
        <v>#VALUE!</v>
      </c>
      <c r="L56" s="374"/>
      <c r="M56" s="373" t="e">
        <f>(1/(($R$49-'Data Tables'!P7)/$K$11))</f>
        <v>#VALUE!</v>
      </c>
      <c r="N56" s="265" t="s">
        <v>17</v>
      </c>
      <c r="O56" s="265"/>
      <c r="P56" s="292"/>
      <c r="Q56" s="292"/>
      <c r="R56" s="265"/>
      <c r="S56" s="265"/>
      <c r="T56" s="56"/>
      <c r="U56" s="371"/>
      <c r="V56" s="372"/>
      <c r="W56" s="372"/>
      <c r="X56" s="372"/>
      <c r="Y56" s="372"/>
      <c r="Z56" s="372"/>
      <c r="AA56" s="372"/>
      <c r="AB56" s="372"/>
      <c r="AC56" s="372"/>
      <c r="AD56" s="16"/>
    </row>
    <row r="57" spans="2:38" ht="14.5" customHeight="1" x14ac:dyDescent="0.3">
      <c r="B57" s="52"/>
      <c r="C57" s="48"/>
      <c r="D57" s="56"/>
      <c r="E57" s="501" t="s">
        <v>34</v>
      </c>
      <c r="F57" s="501"/>
      <c r="G57" s="501"/>
      <c r="H57" s="501"/>
      <c r="I57" s="501"/>
      <c r="J57" s="161"/>
      <c r="K57" s="373" t="e">
        <f>(1/(($P$49-'Data Tables'!O5)/$K$10))</f>
        <v>#VALUE!</v>
      </c>
      <c r="L57" s="374"/>
      <c r="M57" s="373" t="e">
        <f>(1/(($R$49-'Data Tables'!P5)/$K$11))</f>
        <v>#VALUE!</v>
      </c>
      <c r="N57" s="265" t="s">
        <v>17</v>
      </c>
      <c r="O57" s="265"/>
      <c r="P57" s="292"/>
      <c r="Q57" s="292"/>
      <c r="R57" s="265"/>
      <c r="S57" s="265"/>
      <c r="T57" s="56"/>
      <c r="U57" s="371"/>
      <c r="V57" s="372"/>
      <c r="W57" s="372"/>
      <c r="X57" s="372"/>
      <c r="Y57" s="372"/>
      <c r="Z57" s="372"/>
      <c r="AA57" s="372"/>
      <c r="AB57" s="372"/>
      <c r="AC57" s="372"/>
      <c r="AD57" s="16"/>
    </row>
    <row r="58" spans="2:38" ht="14.5" customHeight="1" x14ac:dyDescent="0.3">
      <c r="B58" s="52"/>
      <c r="C58" s="48"/>
      <c r="D58" s="56"/>
      <c r="E58" s="501" t="s">
        <v>245</v>
      </c>
      <c r="F58" s="501"/>
      <c r="G58" s="501"/>
      <c r="H58" s="501"/>
      <c r="I58" s="501"/>
      <c r="J58" s="161"/>
      <c r="K58" s="373" t="e">
        <f>(1/(($P$49-'Data Tables'!O6)/$K$10))</f>
        <v>#VALUE!</v>
      </c>
      <c r="L58" s="374"/>
      <c r="M58" s="373" t="e">
        <f>(1/(($R$49-'Data Tables'!P6)/$K$11))</f>
        <v>#VALUE!</v>
      </c>
      <c r="N58" s="265" t="s">
        <v>17</v>
      </c>
      <c r="O58" s="265"/>
      <c r="P58" s="292"/>
      <c r="Q58" s="292"/>
      <c r="R58" s="265"/>
      <c r="S58" s="265"/>
      <c r="T58" s="56"/>
      <c r="U58" s="371"/>
      <c r="V58" s="372"/>
      <c r="W58" s="372"/>
      <c r="X58" s="372"/>
      <c r="Y58" s="372"/>
      <c r="Z58" s="372"/>
      <c r="AA58" s="372"/>
      <c r="AB58" s="372"/>
      <c r="AC58" s="372"/>
      <c r="AD58" s="16"/>
    </row>
    <row r="59" spans="2:38" ht="14.5" customHeight="1" x14ac:dyDescent="0.3">
      <c r="B59" s="52"/>
      <c r="C59" s="48"/>
      <c r="D59" s="56"/>
      <c r="E59" s="501" t="s">
        <v>439</v>
      </c>
      <c r="F59" s="501"/>
      <c r="G59" s="501"/>
      <c r="H59" s="501"/>
      <c r="I59" s="501"/>
      <c r="J59" s="161"/>
      <c r="K59" s="373" t="e">
        <f>(1/(($P$49-'Data Tables'!O4)/$K$10))</f>
        <v>#VALUE!</v>
      </c>
      <c r="L59" s="374"/>
      <c r="M59" s="373" t="e">
        <f>(1/(($R$49-'Data Tables'!P4)/$K$11))</f>
        <v>#VALUE!</v>
      </c>
      <c r="N59" s="265" t="s">
        <v>17</v>
      </c>
      <c r="O59" s="265"/>
      <c r="P59" s="292"/>
      <c r="Q59" s="292"/>
      <c r="R59" s="265"/>
      <c r="S59" s="265"/>
      <c r="T59" s="56"/>
      <c r="U59" s="371"/>
      <c r="V59" s="372"/>
      <c r="W59" s="372"/>
      <c r="X59" s="372"/>
      <c r="Y59" s="372"/>
      <c r="Z59" s="372"/>
      <c r="AA59" s="372"/>
      <c r="AB59" s="372"/>
      <c r="AC59" s="372"/>
      <c r="AD59" s="16"/>
    </row>
    <row r="60" spans="2:38" ht="7.5" customHeight="1" x14ac:dyDescent="0.3">
      <c r="B60" s="52"/>
      <c r="C60" s="48"/>
      <c r="D60" s="56"/>
      <c r="E60" s="56"/>
      <c r="F60" s="56"/>
      <c r="G60" s="56"/>
      <c r="H60" s="56"/>
      <c r="I60" s="56"/>
      <c r="J60" s="56"/>
      <c r="K60" s="56"/>
      <c r="L60" s="56"/>
      <c r="M60" s="56"/>
      <c r="N60" s="56"/>
      <c r="O60" s="56"/>
      <c r="P60" s="56"/>
      <c r="Q60" s="56"/>
      <c r="R60" s="56"/>
      <c r="S60" s="56"/>
      <c r="T60" s="56"/>
      <c r="U60" s="371"/>
      <c r="V60" s="372"/>
      <c r="W60" s="372"/>
      <c r="X60" s="372"/>
      <c r="Y60" s="372"/>
      <c r="Z60" s="372"/>
      <c r="AA60" s="372"/>
      <c r="AB60" s="372"/>
      <c r="AC60" s="372"/>
      <c r="AD60" s="16"/>
    </row>
    <row r="61" spans="2:38" ht="16" customHeight="1" x14ac:dyDescent="0.35">
      <c r="B61" s="52"/>
      <c r="C61" s="48"/>
      <c r="D61" s="56"/>
      <c r="E61" s="56"/>
      <c r="F61" s="447" t="s">
        <v>248</v>
      </c>
      <c r="G61" s="447"/>
      <c r="H61" s="447"/>
      <c r="I61" s="447"/>
      <c r="J61" s="447"/>
      <c r="K61" s="249"/>
      <c r="L61" s="249"/>
      <c r="M61" s="249"/>
      <c r="N61" s="56"/>
      <c r="O61" s="56"/>
      <c r="P61" s="56"/>
      <c r="Q61" s="56"/>
      <c r="R61" s="56"/>
      <c r="S61" s="56"/>
      <c r="T61" s="56"/>
      <c r="U61" s="371"/>
      <c r="V61" s="372"/>
      <c r="W61" s="372"/>
      <c r="X61" s="372"/>
      <c r="Y61" s="372"/>
      <c r="Z61" s="372"/>
      <c r="AA61" s="372"/>
      <c r="AB61" s="372"/>
      <c r="AC61" s="372"/>
      <c r="AD61" s="16"/>
    </row>
    <row r="62" spans="2:38" ht="18" customHeight="1" x14ac:dyDescent="0.35">
      <c r="B62" s="52"/>
      <c r="C62" s="48"/>
      <c r="D62" s="56"/>
      <c r="E62" s="56"/>
      <c r="F62" s="56"/>
      <c r="G62" s="447" t="s">
        <v>236</v>
      </c>
      <c r="H62" s="447"/>
      <c r="I62" s="447"/>
      <c r="J62" s="447"/>
      <c r="K62" s="263"/>
      <c r="L62" s="264"/>
      <c r="M62" s="263"/>
      <c r="N62" s="265" t="s">
        <v>81</v>
      </c>
      <c r="O62" s="302"/>
      <c r="P62" s="56"/>
      <c r="Q62" s="56"/>
      <c r="R62" s="56"/>
      <c r="S62" s="56"/>
      <c r="T62" s="56"/>
      <c r="U62" s="371"/>
      <c r="V62" s="372"/>
      <c r="W62" s="372"/>
      <c r="X62" s="372"/>
      <c r="Y62" s="372"/>
      <c r="Z62" s="372"/>
      <c r="AA62" s="372"/>
      <c r="AB62" s="372"/>
      <c r="AC62" s="372"/>
      <c r="AD62" s="16"/>
    </row>
    <row r="63" spans="2:38" ht="58" customHeight="1" x14ac:dyDescent="0.3">
      <c r="B63" s="52"/>
      <c r="C63" s="48"/>
      <c r="D63" s="56"/>
      <c r="E63" s="497" t="s">
        <v>438</v>
      </c>
      <c r="F63" s="497"/>
      <c r="G63" s="497"/>
      <c r="H63" s="497"/>
      <c r="I63" s="497"/>
      <c r="J63" s="497"/>
      <c r="K63" s="497"/>
      <c r="L63" s="497"/>
      <c r="M63" s="497"/>
      <c r="N63" s="497"/>
      <c r="O63" s="497"/>
      <c r="P63" s="497"/>
      <c r="Q63" s="497"/>
      <c r="R63" s="497"/>
      <c r="S63" s="497"/>
      <c r="T63" s="497"/>
      <c r="U63" s="371"/>
      <c r="V63" s="372"/>
      <c r="W63" s="372"/>
      <c r="X63" s="372"/>
      <c r="Y63" s="372"/>
      <c r="Z63" s="372"/>
      <c r="AA63" s="372"/>
      <c r="AB63" s="372"/>
      <c r="AC63" s="372"/>
      <c r="AD63" s="16"/>
    </row>
    <row r="64" spans="2:38" ht="14.5" customHeight="1" x14ac:dyDescent="0.35">
      <c r="B64" s="52"/>
      <c r="C64" s="48"/>
      <c r="D64" s="56"/>
      <c r="E64" s="56"/>
      <c r="F64" s="56"/>
      <c r="G64" s="56"/>
      <c r="H64" s="56"/>
      <c r="I64" s="56"/>
      <c r="J64" s="56"/>
      <c r="K64" s="249"/>
      <c r="L64" s="249"/>
      <c r="M64" s="249"/>
      <c r="N64" s="56"/>
      <c r="O64" s="56"/>
      <c r="P64" s="249"/>
      <c r="Q64" s="249"/>
      <c r="R64" s="249"/>
      <c r="S64" s="56"/>
      <c r="T64" s="56"/>
      <c r="U64" s="371"/>
      <c r="V64" s="372"/>
      <c r="W64" s="372"/>
      <c r="X64" s="372"/>
      <c r="Y64" s="372"/>
      <c r="Z64" s="372"/>
      <c r="AA64" s="372"/>
      <c r="AB64" s="372"/>
      <c r="AC64" s="372"/>
      <c r="AD64" s="16"/>
    </row>
    <row r="65" spans="2:30" ht="10" customHeight="1" x14ac:dyDescent="0.3">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1"/>
      <c r="V65" s="372"/>
      <c r="W65" s="372"/>
      <c r="X65" s="372"/>
      <c r="Y65" s="372"/>
      <c r="Z65" s="372"/>
      <c r="AA65" s="372"/>
      <c r="AB65" s="372"/>
      <c r="AC65" s="372"/>
      <c r="AD65" s="16"/>
    </row>
    <row r="66" spans="2:30" ht="13.5" customHeight="1" x14ac:dyDescent="0.3">
      <c r="B66" s="52"/>
      <c r="C66" s="48"/>
      <c r="D66" s="56"/>
      <c r="E66" s="54"/>
      <c r="F66" s="56"/>
      <c r="G66" s="56"/>
      <c r="H66" s="56"/>
      <c r="I66" s="56"/>
      <c r="J66" s="56"/>
      <c r="K66" s="161" t="s">
        <v>436</v>
      </c>
      <c r="L66" s="161"/>
      <c r="M66" s="161" t="s">
        <v>437</v>
      </c>
      <c r="N66" s="56"/>
      <c r="O66" s="56"/>
      <c r="P66" s="161" t="s">
        <v>436</v>
      </c>
      <c r="Q66" s="161"/>
      <c r="R66" s="161" t="s">
        <v>437</v>
      </c>
      <c r="S66" s="161"/>
      <c r="T66" s="56"/>
      <c r="U66" s="371"/>
      <c r="V66" s="372"/>
      <c r="W66" s="375"/>
      <c r="X66" s="372"/>
      <c r="Y66" s="372"/>
      <c r="Z66" s="372"/>
      <c r="AA66" s="372"/>
      <c r="AB66" s="372"/>
      <c r="AC66" s="372"/>
      <c r="AD66" s="16"/>
    </row>
    <row r="67" spans="2:30" ht="19" customHeight="1" x14ac:dyDescent="0.3">
      <c r="B67" s="52"/>
      <c r="C67" s="48"/>
      <c r="D67" s="56"/>
      <c r="E67" s="501" t="s">
        <v>32</v>
      </c>
      <c r="F67" s="501"/>
      <c r="G67" s="501"/>
      <c r="H67" s="501"/>
      <c r="I67" s="501"/>
      <c r="J67" s="161"/>
      <c r="K67" s="376"/>
      <c r="L67" s="309"/>
      <c r="M67" s="376"/>
      <c r="N67" s="265" t="s">
        <v>35</v>
      </c>
      <c r="O67" s="265"/>
      <c r="P67" s="373" t="str">
        <f>IF(K67&gt;0,(1/(($P$49-(-IF(K62&gt;0,K62,8)))/K67)),"0")</f>
        <v>0</v>
      </c>
      <c r="Q67" s="374"/>
      <c r="R67" s="373" t="str">
        <f>IF(M67&gt;0,(1/(($P$49-(-IF(M62&gt;0,M62,930)))/M67)),"0")</f>
        <v>0</v>
      </c>
      <c r="S67" s="265" t="s">
        <v>17</v>
      </c>
      <c r="T67" s="56"/>
      <c r="U67" s="371"/>
      <c r="V67" s="372"/>
      <c r="W67" s="375"/>
      <c r="X67" s="372"/>
      <c r="Y67" s="372"/>
      <c r="Z67" s="372"/>
      <c r="AA67" s="372"/>
      <c r="AB67" s="372"/>
      <c r="AC67" s="372"/>
      <c r="AD67" s="16"/>
    </row>
    <row r="68" spans="2:30" ht="22.5" customHeight="1" x14ac:dyDescent="0.3">
      <c r="B68" s="52"/>
      <c r="C68" s="48"/>
      <c r="D68" s="56"/>
      <c r="E68" s="501" t="s">
        <v>489</v>
      </c>
      <c r="F68" s="501"/>
      <c r="G68" s="501"/>
      <c r="H68" s="501"/>
      <c r="I68" s="501"/>
      <c r="J68" s="161"/>
      <c r="K68" s="376"/>
      <c r="L68" s="309"/>
      <c r="M68" s="376"/>
      <c r="N68" s="265" t="s">
        <v>35</v>
      </c>
      <c r="O68" s="265"/>
      <c r="P68" s="373"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4"/>
      <c r="R68" s="373"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1"/>
      <c r="V68" s="372"/>
      <c r="W68" s="372"/>
      <c r="X68" s="372"/>
      <c r="Y68" s="372"/>
      <c r="Z68" s="372"/>
      <c r="AA68" s="372"/>
      <c r="AB68" s="372"/>
      <c r="AC68" s="372"/>
      <c r="AD68" s="16"/>
    </row>
    <row r="69" spans="2:30" ht="13.5" customHeight="1" x14ac:dyDescent="0.3">
      <c r="B69" s="52"/>
      <c r="C69" s="48"/>
      <c r="D69" s="56"/>
      <c r="E69" s="501" t="s">
        <v>400</v>
      </c>
      <c r="F69" s="501"/>
      <c r="G69" s="501"/>
      <c r="H69" s="501"/>
      <c r="I69" s="501"/>
      <c r="J69" s="161"/>
      <c r="K69" s="376"/>
      <c r="L69" s="309"/>
      <c r="M69" s="376"/>
      <c r="N69" s="265" t="s">
        <v>35</v>
      </c>
      <c r="O69" s="265"/>
      <c r="P69" s="373" t="str">
        <f>IF(K69&gt;0,(1/(($P$49-'Data Tables'!O7)/K69)),"0")</f>
        <v>0</v>
      </c>
      <c r="Q69" s="374"/>
      <c r="R69" s="373" t="str">
        <f>IF(M69&gt;0,(1/(($R$49-'Data Tables'!P7)/M69)),"0")</f>
        <v>0</v>
      </c>
      <c r="S69" s="265" t="s">
        <v>17</v>
      </c>
      <c r="T69" s="56"/>
      <c r="U69" s="371"/>
      <c r="V69" s="372"/>
      <c r="W69" s="375"/>
      <c r="X69" s="372"/>
      <c r="Y69" s="372"/>
      <c r="Z69" s="372"/>
      <c r="AA69" s="372"/>
      <c r="AB69" s="372"/>
      <c r="AC69" s="372"/>
      <c r="AD69" s="16"/>
    </row>
    <row r="70" spans="2:30" ht="16.5" customHeight="1" x14ac:dyDescent="0.3">
      <c r="B70" s="52"/>
      <c r="C70" s="48"/>
      <c r="D70" s="56"/>
      <c r="E70" s="501" t="s">
        <v>34</v>
      </c>
      <c r="F70" s="501"/>
      <c r="G70" s="501"/>
      <c r="H70" s="501"/>
      <c r="I70" s="501"/>
      <c r="J70" s="161"/>
      <c r="K70" s="376"/>
      <c r="L70" s="309"/>
      <c r="M70" s="376"/>
      <c r="N70" s="265" t="s">
        <v>35</v>
      </c>
      <c r="O70" s="265"/>
      <c r="P70" s="373" t="str">
        <f>IF(K70&gt;0,(1/(($P$49-'Data Tables'!O5)/K70)),"0")</f>
        <v>0</v>
      </c>
      <c r="Q70" s="374"/>
      <c r="R70" s="373" t="str">
        <f>IF(M70&gt;0,(1/(($P$49-'Data Tables'!P5)/M70)),"0")</f>
        <v>0</v>
      </c>
      <c r="S70" s="265" t="s">
        <v>17</v>
      </c>
      <c r="T70" s="56"/>
      <c r="U70" s="371"/>
      <c r="V70" s="372"/>
      <c r="W70" s="372"/>
      <c r="X70" s="372"/>
      <c r="Y70" s="372"/>
      <c r="Z70" s="372"/>
      <c r="AA70" s="372"/>
      <c r="AB70" s="372"/>
      <c r="AC70" s="372"/>
      <c r="AD70" s="16"/>
    </row>
    <row r="71" spans="2:30" ht="16.5" customHeight="1" x14ac:dyDescent="0.3">
      <c r="B71" s="52"/>
      <c r="C71" s="48"/>
      <c r="D71" s="56"/>
      <c r="E71" s="501" t="s">
        <v>245</v>
      </c>
      <c r="F71" s="501"/>
      <c r="G71" s="501"/>
      <c r="H71" s="501"/>
      <c r="I71" s="501"/>
      <c r="J71" s="161"/>
      <c r="K71" s="376"/>
      <c r="L71" s="309"/>
      <c r="M71" s="376"/>
      <c r="N71" s="265" t="s">
        <v>35</v>
      </c>
      <c r="O71" s="265"/>
      <c r="P71" s="373" t="str">
        <f>IF(K71&gt;0,(1/(($P$49-'Data Tables'!O6)/K71)),"0")</f>
        <v>0</v>
      </c>
      <c r="Q71" s="374"/>
      <c r="R71" s="373" t="str">
        <f>IF(M71&gt;0,(1/(($R$49-'Data Tables'!P6)/M71)),"0")</f>
        <v>0</v>
      </c>
      <c r="S71" s="265" t="s">
        <v>17</v>
      </c>
      <c r="T71" s="56"/>
      <c r="U71" s="371"/>
      <c r="V71" s="372"/>
      <c r="W71" s="372"/>
      <c r="X71" s="372"/>
      <c r="Y71" s="372"/>
      <c r="Z71" s="372"/>
      <c r="AA71" s="372"/>
      <c r="AB71" s="372"/>
      <c r="AC71" s="372"/>
      <c r="AD71" s="16"/>
    </row>
    <row r="72" spans="2:30" ht="16.5" customHeight="1" x14ac:dyDescent="0.3">
      <c r="B72" s="52"/>
      <c r="C72" s="48"/>
      <c r="D72" s="56"/>
      <c r="E72" s="501" t="s">
        <v>439</v>
      </c>
      <c r="F72" s="501"/>
      <c r="G72" s="501"/>
      <c r="H72" s="501"/>
      <c r="I72" s="501"/>
      <c r="J72" s="161"/>
      <c r="K72" s="376"/>
      <c r="L72" s="309"/>
      <c r="M72" s="376"/>
      <c r="N72" s="265" t="s">
        <v>35</v>
      </c>
      <c r="O72" s="265"/>
      <c r="P72" s="373" t="str">
        <f>IF(K72&gt;0,(1/(($P$49-'Data Tables'!O4)/K72)),"0")</f>
        <v>0</v>
      </c>
      <c r="Q72" s="374"/>
      <c r="R72" s="373" t="str">
        <f>IF(M72&gt;0,(1/(($R$49-'Data Tables'!P4)/M72)),"0")</f>
        <v>0</v>
      </c>
      <c r="S72" s="265" t="s">
        <v>17</v>
      </c>
      <c r="T72" s="56"/>
      <c r="U72" s="371"/>
      <c r="V72" s="372"/>
      <c r="W72" s="372"/>
      <c r="X72" s="372"/>
      <c r="Y72" s="372"/>
      <c r="Z72" s="372"/>
      <c r="AA72" s="372"/>
      <c r="AB72" s="372"/>
      <c r="AC72" s="372"/>
      <c r="AD72" s="16"/>
    </row>
    <row r="73" spans="2:30" ht="22" customHeight="1" x14ac:dyDescent="0.3">
      <c r="B73" s="52"/>
      <c r="C73" s="48"/>
      <c r="D73" s="56"/>
      <c r="E73" s="56"/>
      <c r="F73" s="56"/>
      <c r="G73" s="56"/>
      <c r="H73" s="56"/>
      <c r="I73" s="56"/>
      <c r="J73" s="56"/>
      <c r="K73" s="56"/>
      <c r="L73" s="56"/>
      <c r="M73" s="56"/>
      <c r="N73" s="265"/>
      <c r="O73" s="265"/>
      <c r="P73" s="377"/>
      <c r="Q73" s="377"/>
      <c r="R73" s="265"/>
      <c r="S73" s="265"/>
      <c r="T73" s="56"/>
      <c r="U73" s="371"/>
      <c r="V73" s="372"/>
      <c r="W73" s="372"/>
      <c r="X73" s="372"/>
      <c r="Y73" s="372"/>
      <c r="Z73" s="372"/>
      <c r="AA73" s="372"/>
      <c r="AB73" s="372"/>
      <c r="AC73" s="372"/>
      <c r="AD73" s="16"/>
    </row>
    <row r="74" spans="2:30" ht="15.65" customHeight="1" x14ac:dyDescent="0.3">
      <c r="B74" s="52"/>
      <c r="C74" s="48"/>
      <c r="D74" s="56"/>
      <c r="E74" s="56"/>
      <c r="F74" s="495" t="s">
        <v>64</v>
      </c>
      <c r="G74" s="495"/>
      <c r="H74" s="495"/>
      <c r="I74" s="495"/>
      <c r="J74" s="56"/>
      <c r="K74" s="304">
        <f>K10-(SUM(K67:K72))</f>
        <v>0</v>
      </c>
      <c r="L74" s="297"/>
      <c r="M74" s="304">
        <f>K11-(SUM(M67:M72))</f>
        <v>0</v>
      </c>
      <c r="N74" s="272" t="s">
        <v>15</v>
      </c>
      <c r="O74" s="272"/>
      <c r="P74" s="323">
        <f>SUM(P67:P72)</f>
        <v>0</v>
      </c>
      <c r="Q74" s="378"/>
      <c r="R74" s="323">
        <f>SUM(R67:R72)</f>
        <v>0</v>
      </c>
      <c r="S74" s="272" t="s">
        <v>17</v>
      </c>
      <c r="T74" s="56"/>
      <c r="U74" s="371"/>
      <c r="V74" s="372"/>
      <c r="W74" s="372"/>
      <c r="X74" s="372"/>
      <c r="Y74" s="372"/>
      <c r="Z74" s="372"/>
      <c r="AA74" s="372"/>
      <c r="AB74" s="372"/>
      <c r="AC74" s="372"/>
      <c r="AD74" s="16"/>
    </row>
    <row r="75" spans="2:30" ht="18" customHeight="1" x14ac:dyDescent="0.3">
      <c r="B75" s="52"/>
      <c r="C75" s="48"/>
      <c r="D75" s="56"/>
      <c r="E75" s="56"/>
      <c r="F75" s="56"/>
      <c r="G75" s="56"/>
      <c r="H75" s="56"/>
      <c r="I75" s="56"/>
      <c r="J75" s="56"/>
      <c r="K75" s="56"/>
      <c r="L75" s="56"/>
      <c r="M75" s="56"/>
      <c r="N75" s="56"/>
      <c r="O75" s="56"/>
      <c r="P75" s="56"/>
      <c r="Q75" s="56"/>
      <c r="R75" s="56"/>
      <c r="S75" s="56"/>
      <c r="T75" s="56"/>
      <c r="U75" s="371"/>
      <c r="V75" s="372"/>
      <c r="W75" s="372"/>
      <c r="X75" s="372"/>
      <c r="Y75" s="372"/>
      <c r="Z75" s="372"/>
      <c r="AA75" s="372"/>
      <c r="AB75" s="372"/>
      <c r="AC75" s="372"/>
      <c r="AD75" s="16"/>
    </row>
    <row r="76" spans="2:30" ht="55.5" customHeight="1" x14ac:dyDescent="0.3">
      <c r="B76" s="52"/>
      <c r="C76" s="48"/>
      <c r="D76" s="56"/>
      <c r="E76" s="497" t="s">
        <v>442</v>
      </c>
      <c r="F76" s="497"/>
      <c r="G76" s="497"/>
      <c r="H76" s="497"/>
      <c r="I76" s="497"/>
      <c r="J76" s="497"/>
      <c r="K76" s="497"/>
      <c r="L76" s="497"/>
      <c r="M76" s="497"/>
      <c r="N76" s="497"/>
      <c r="O76" s="497"/>
      <c r="P76" s="497"/>
      <c r="Q76" s="497"/>
      <c r="R76" s="497"/>
      <c r="S76" s="497"/>
      <c r="T76" s="497"/>
      <c r="U76" s="371"/>
      <c r="V76" s="372"/>
      <c r="W76" s="372"/>
      <c r="X76" s="372"/>
      <c r="Y76" s="372"/>
      <c r="Z76" s="372"/>
      <c r="AA76" s="372"/>
      <c r="AB76" s="372"/>
      <c r="AC76" s="372"/>
      <c r="AD76" s="16"/>
    </row>
    <row r="77" spans="2:30" ht="15.5" x14ac:dyDescent="0.3">
      <c r="B77" s="52"/>
      <c r="C77" s="48"/>
      <c r="D77" s="56"/>
      <c r="E77" s="56"/>
      <c r="F77" s="56"/>
      <c r="G77" s="56"/>
      <c r="H77" s="56"/>
      <c r="I77" s="56"/>
      <c r="J77" s="56"/>
      <c r="K77" s="56"/>
      <c r="L77" s="56"/>
      <c r="M77" s="56"/>
      <c r="N77" s="56"/>
      <c r="O77" s="56"/>
      <c r="P77" s="56"/>
      <c r="Q77" s="56"/>
      <c r="R77" s="56"/>
      <c r="S77" s="56"/>
      <c r="T77" s="56"/>
      <c r="U77" s="371"/>
      <c r="V77" s="372"/>
      <c r="W77" s="372"/>
      <c r="X77" s="372"/>
      <c r="Y77" s="372"/>
      <c r="Z77" s="372"/>
      <c r="AA77" s="372"/>
      <c r="AB77" s="372"/>
      <c r="AC77" s="372"/>
      <c r="AD77" s="16"/>
    </row>
    <row r="78" spans="2:30" ht="15.5" x14ac:dyDescent="0.3">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1"/>
      <c r="V78" s="372"/>
      <c r="W78" s="372"/>
      <c r="X78" s="372"/>
      <c r="Y78" s="372"/>
      <c r="Z78" s="372"/>
      <c r="AA78" s="372"/>
      <c r="AB78" s="372"/>
      <c r="AC78" s="372"/>
      <c r="AD78" s="16"/>
    </row>
    <row r="79" spans="2:30" ht="15.5" x14ac:dyDescent="0.3">
      <c r="B79" s="52"/>
      <c r="C79" s="48"/>
      <c r="D79" s="56"/>
      <c r="E79" s="54"/>
      <c r="F79" s="56"/>
      <c r="G79" s="56"/>
      <c r="H79" s="56"/>
      <c r="I79" s="56"/>
      <c r="J79" s="56"/>
      <c r="K79" s="161" t="s">
        <v>436</v>
      </c>
      <c r="L79" s="161"/>
      <c r="M79" s="161" t="s">
        <v>437</v>
      </c>
      <c r="N79" s="56"/>
      <c r="O79" s="56"/>
      <c r="P79" s="161" t="s">
        <v>436</v>
      </c>
      <c r="Q79" s="161"/>
      <c r="R79" s="161" t="s">
        <v>437</v>
      </c>
      <c r="S79" s="161"/>
      <c r="T79" s="56"/>
      <c r="U79" s="371"/>
      <c r="V79" s="372"/>
      <c r="W79" s="372"/>
      <c r="X79" s="372"/>
      <c r="Y79" s="372"/>
      <c r="Z79" s="372"/>
      <c r="AA79" s="372"/>
      <c r="AB79" s="372"/>
      <c r="AC79" s="372"/>
      <c r="AD79" s="16"/>
    </row>
    <row r="80" spans="2:30" ht="15.5" x14ac:dyDescent="0.3">
      <c r="B80" s="52"/>
      <c r="C80" s="48"/>
      <c r="D80" s="56"/>
      <c r="E80" s="501" t="s">
        <v>32</v>
      </c>
      <c r="F80" s="501"/>
      <c r="G80" s="501"/>
      <c r="H80" s="501"/>
      <c r="I80" s="501"/>
      <c r="J80" s="161"/>
      <c r="K80" s="314"/>
      <c r="L80" s="379"/>
      <c r="M80" s="314"/>
      <c r="N80" s="265" t="s">
        <v>61</v>
      </c>
      <c r="O80" s="265"/>
      <c r="P80" s="296" t="e">
        <f>K80*($P$49-(-IF(K62&gt;0,K62,8)))</f>
        <v>#VALUE!</v>
      </c>
      <c r="Q80" s="292"/>
      <c r="R80" s="296" t="e">
        <f>M80*($R$49-(-IF(M62&gt;0,M62,930)))</f>
        <v>#VALUE!</v>
      </c>
      <c r="S80" s="265" t="s">
        <v>35</v>
      </c>
      <c r="T80" s="56"/>
      <c r="U80" s="371"/>
      <c r="V80" s="372"/>
      <c r="W80" s="372"/>
      <c r="X80" s="372"/>
      <c r="Y80" s="372"/>
      <c r="Z80" s="372"/>
      <c r="AA80" s="372"/>
      <c r="AB80" s="372"/>
      <c r="AC80" s="372"/>
      <c r="AD80" s="16"/>
    </row>
    <row r="81" spans="2:30" ht="15.5" x14ac:dyDescent="0.3">
      <c r="B81" s="52"/>
      <c r="C81" s="48"/>
      <c r="D81" s="56"/>
      <c r="E81" s="501" t="s">
        <v>489</v>
      </c>
      <c r="F81" s="501"/>
      <c r="G81" s="501"/>
      <c r="H81" s="501"/>
      <c r="I81" s="501"/>
      <c r="J81" s="161"/>
      <c r="K81" s="314"/>
      <c r="L81" s="379"/>
      <c r="M81" s="314"/>
      <c r="N81" s="265" t="s">
        <v>61</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1"/>
      <c r="V81" s="372"/>
      <c r="W81" s="372"/>
      <c r="X81" s="372"/>
      <c r="Y81" s="372"/>
      <c r="Z81" s="372"/>
      <c r="AA81" s="372"/>
      <c r="AB81" s="372"/>
      <c r="AC81" s="372"/>
      <c r="AD81" s="16"/>
    </row>
    <row r="82" spans="2:30" ht="15.5" x14ac:dyDescent="0.3">
      <c r="B82" s="52"/>
      <c r="C82" s="48"/>
      <c r="D82" s="56"/>
      <c r="E82" s="501" t="s">
        <v>400</v>
      </c>
      <c r="F82" s="501"/>
      <c r="G82" s="501"/>
      <c r="H82" s="501"/>
      <c r="I82" s="501"/>
      <c r="J82" s="161"/>
      <c r="K82" s="314"/>
      <c r="L82" s="379"/>
      <c r="M82" s="314"/>
      <c r="N82" s="265" t="s">
        <v>61</v>
      </c>
      <c r="O82" s="265"/>
      <c r="P82" s="296" t="e">
        <f>K82*($P$49-'Data Tables'!O7)</f>
        <v>#VALUE!</v>
      </c>
      <c r="Q82" s="292"/>
      <c r="R82" s="296" t="e">
        <f>M82*($R$49-'Data Tables'!P7)</f>
        <v>#VALUE!</v>
      </c>
      <c r="S82" s="265" t="s">
        <v>35</v>
      </c>
      <c r="T82" s="56"/>
      <c r="U82" s="371"/>
      <c r="V82" s="372"/>
      <c r="W82" s="372"/>
      <c r="X82" s="372"/>
      <c r="Y82" s="372"/>
      <c r="Z82" s="372"/>
      <c r="AA82" s="372"/>
      <c r="AB82" s="372"/>
      <c r="AC82" s="372"/>
      <c r="AD82" s="16"/>
    </row>
    <row r="83" spans="2:30" ht="15.5" x14ac:dyDescent="0.3">
      <c r="B83" s="52"/>
      <c r="C83" s="48"/>
      <c r="D83" s="56"/>
      <c r="E83" s="501" t="s">
        <v>34</v>
      </c>
      <c r="F83" s="501"/>
      <c r="G83" s="501"/>
      <c r="H83" s="501"/>
      <c r="I83" s="501"/>
      <c r="J83" s="161"/>
      <c r="K83" s="314"/>
      <c r="L83" s="379"/>
      <c r="M83" s="314"/>
      <c r="N83" s="265" t="s">
        <v>61</v>
      </c>
      <c r="O83" s="265"/>
      <c r="P83" s="296" t="e">
        <f>K83*($P$49-'Data Tables'!O5)</f>
        <v>#VALUE!</v>
      </c>
      <c r="Q83" s="292"/>
      <c r="R83" s="296" t="e">
        <f>M83*($R$49-'Data Tables'!P5)</f>
        <v>#VALUE!</v>
      </c>
      <c r="S83" s="265" t="s">
        <v>35</v>
      </c>
      <c r="T83" s="56"/>
      <c r="U83" s="371"/>
      <c r="V83" s="372"/>
      <c r="W83" s="372"/>
      <c r="X83" s="372"/>
      <c r="Y83" s="372"/>
      <c r="Z83" s="372"/>
      <c r="AA83" s="372"/>
      <c r="AB83" s="372"/>
      <c r="AC83" s="372"/>
      <c r="AD83" s="16"/>
    </row>
    <row r="84" spans="2:30" ht="15.5" x14ac:dyDescent="0.3">
      <c r="B84" s="52"/>
      <c r="C84" s="48"/>
      <c r="D84" s="56"/>
      <c r="E84" s="501" t="s">
        <v>245</v>
      </c>
      <c r="F84" s="501"/>
      <c r="G84" s="501"/>
      <c r="H84" s="501"/>
      <c r="I84" s="501"/>
      <c r="J84" s="161"/>
      <c r="K84" s="314"/>
      <c r="L84" s="379"/>
      <c r="M84" s="314"/>
      <c r="N84" s="265" t="s">
        <v>61</v>
      </c>
      <c r="O84" s="265"/>
      <c r="P84" s="296" t="e">
        <f>K84*($P$49-'Data Tables'!O6)</f>
        <v>#VALUE!</v>
      </c>
      <c r="Q84" s="292"/>
      <c r="R84" s="296" t="e">
        <f>M84*($R$49-'Data Tables'!P6)</f>
        <v>#VALUE!</v>
      </c>
      <c r="S84" s="265" t="s">
        <v>35</v>
      </c>
      <c r="T84" s="56"/>
      <c r="U84" s="371"/>
      <c r="V84" s="372"/>
      <c r="W84" s="372"/>
      <c r="X84" s="372"/>
      <c r="Y84" s="372"/>
      <c r="Z84" s="372"/>
      <c r="AA84" s="372"/>
      <c r="AB84" s="372"/>
      <c r="AC84" s="372"/>
      <c r="AD84" s="16"/>
    </row>
    <row r="85" spans="2:30" ht="15.5" x14ac:dyDescent="0.3">
      <c r="B85" s="52"/>
      <c r="C85" s="48"/>
      <c r="D85" s="56"/>
      <c r="E85" s="501" t="s">
        <v>439</v>
      </c>
      <c r="F85" s="501"/>
      <c r="G85" s="501"/>
      <c r="H85" s="501"/>
      <c r="I85" s="501"/>
      <c r="J85" s="161"/>
      <c r="K85" s="314"/>
      <c r="L85" s="379"/>
      <c r="M85" s="314"/>
      <c r="N85" s="265" t="s">
        <v>61</v>
      </c>
      <c r="O85" s="265"/>
      <c r="P85" s="296" t="e">
        <f>K85*($P$49-'Data Tables'!O4)</f>
        <v>#VALUE!</v>
      </c>
      <c r="Q85" s="292"/>
      <c r="R85" s="296" t="e">
        <f>M85*($R$49-'Data Tables'!P4)</f>
        <v>#VALUE!</v>
      </c>
      <c r="S85" s="265" t="s">
        <v>35</v>
      </c>
      <c r="T85" s="56"/>
      <c r="U85" s="371"/>
      <c r="V85" s="372"/>
      <c r="W85" s="372"/>
      <c r="X85" s="372"/>
      <c r="Y85" s="372"/>
      <c r="Z85" s="372"/>
      <c r="AA85" s="372"/>
      <c r="AB85" s="372"/>
      <c r="AC85" s="372"/>
      <c r="AD85" s="16"/>
    </row>
    <row r="86" spans="2:30" ht="30" customHeight="1" x14ac:dyDescent="0.3">
      <c r="B86" s="52"/>
      <c r="C86" s="48"/>
      <c r="D86" s="56"/>
      <c r="E86" s="56"/>
      <c r="F86" s="56"/>
      <c r="G86" s="56"/>
      <c r="H86" s="56"/>
      <c r="I86" s="56"/>
      <c r="J86" s="56"/>
      <c r="K86" s="380"/>
      <c r="L86" s="380"/>
      <c r="M86" s="380"/>
      <c r="N86" s="265"/>
      <c r="O86" s="265"/>
      <c r="P86" s="265"/>
      <c r="Q86" s="265"/>
      <c r="R86" s="265"/>
      <c r="S86" s="265"/>
      <c r="T86" s="56"/>
      <c r="U86" s="371"/>
      <c r="V86" s="372"/>
      <c r="W86" s="372"/>
      <c r="X86" s="372"/>
      <c r="Y86" s="372"/>
      <c r="Z86" s="372"/>
      <c r="AA86" s="372"/>
      <c r="AB86" s="372"/>
      <c r="AC86" s="372"/>
      <c r="AD86" s="16"/>
    </row>
    <row r="87" spans="2:30" ht="29.5" customHeight="1" x14ac:dyDescent="0.3">
      <c r="B87" s="52"/>
      <c r="C87" s="48"/>
      <c r="D87" s="56"/>
      <c r="E87" s="56"/>
      <c r="F87" s="495" t="s">
        <v>64</v>
      </c>
      <c r="G87" s="495"/>
      <c r="H87" s="495"/>
      <c r="I87" s="495"/>
      <c r="J87" s="56"/>
      <c r="K87" s="323">
        <f>(SUM(K80:K85))</f>
        <v>0</v>
      </c>
      <c r="L87" s="378"/>
      <c r="M87" s="323">
        <f>(SUM(M80:M85))</f>
        <v>0</v>
      </c>
      <c r="N87" s="272" t="s">
        <v>61</v>
      </c>
      <c r="O87" s="272"/>
      <c r="P87" s="304" t="e">
        <f>K10-(SUM(P80:P85))</f>
        <v>#VALUE!</v>
      </c>
      <c r="Q87" s="297"/>
      <c r="R87" s="304" t="e">
        <f>K11-(SUM(R80:R85))</f>
        <v>#VALUE!</v>
      </c>
      <c r="S87" s="272" t="s">
        <v>15</v>
      </c>
      <c r="T87" s="56"/>
      <c r="U87" s="371"/>
      <c r="V87" s="372"/>
      <c r="W87" s="372"/>
      <c r="X87" s="372"/>
      <c r="Y87" s="372"/>
      <c r="Z87" s="372"/>
      <c r="AA87" s="372"/>
      <c r="AB87" s="372"/>
      <c r="AC87" s="372"/>
      <c r="AD87" s="16"/>
    </row>
    <row r="88" spans="2:30" ht="15" customHeight="1" x14ac:dyDescent="0.3">
      <c r="B88" s="52"/>
      <c r="C88" s="48"/>
      <c r="D88" s="56"/>
      <c r="E88" s="56"/>
      <c r="F88" s="56"/>
      <c r="G88" s="56"/>
      <c r="H88" s="56"/>
      <c r="I88" s="56"/>
      <c r="J88" s="56"/>
      <c r="K88" s="56"/>
      <c r="L88" s="56"/>
      <c r="M88" s="56"/>
      <c r="N88" s="56"/>
      <c r="O88" s="56"/>
      <c r="P88" s="56"/>
      <c r="Q88" s="56"/>
      <c r="R88" s="56"/>
      <c r="S88" s="56"/>
      <c r="T88" s="56"/>
      <c r="U88" s="371"/>
      <c r="V88" s="372"/>
      <c r="W88" s="372"/>
      <c r="X88" s="372"/>
      <c r="Y88" s="372"/>
      <c r="Z88" s="372"/>
      <c r="AA88" s="372"/>
      <c r="AB88" s="372"/>
      <c r="AC88" s="372"/>
      <c r="AD88" s="16"/>
    </row>
    <row r="89" spans="2:30" ht="51.5" customHeight="1" thickBot="1" x14ac:dyDescent="0.35">
      <c r="B89" s="57"/>
      <c r="C89" s="58"/>
      <c r="D89" s="369"/>
      <c r="E89" s="517" t="s">
        <v>443</v>
      </c>
      <c r="F89" s="517"/>
      <c r="G89" s="517"/>
      <c r="H89" s="517"/>
      <c r="I89" s="517"/>
      <c r="J89" s="517"/>
      <c r="K89" s="517"/>
      <c r="L89" s="517"/>
      <c r="M89" s="517"/>
      <c r="N89" s="517"/>
      <c r="O89" s="517"/>
      <c r="P89" s="517"/>
      <c r="Q89" s="517"/>
      <c r="R89" s="517"/>
      <c r="S89" s="517"/>
      <c r="T89" s="517"/>
      <c r="U89" s="381"/>
      <c r="V89" s="372"/>
      <c r="W89" s="372"/>
      <c r="X89" s="372"/>
      <c r="Y89" s="372"/>
      <c r="Z89" s="372"/>
      <c r="AA89" s="372"/>
      <c r="AB89" s="372"/>
      <c r="AC89" s="372"/>
      <c r="AD89" s="16"/>
    </row>
    <row r="90" spans="2:30" ht="18" customHeight="1" x14ac:dyDescent="0.3">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5">
      <c r="V91" s="16"/>
      <c r="W91" s="16"/>
      <c r="X91" s="16"/>
      <c r="Y91" s="16"/>
      <c r="Z91" s="16"/>
      <c r="AA91" s="16"/>
      <c r="AB91" s="16"/>
      <c r="AC91" s="16"/>
      <c r="AD91" s="16"/>
    </row>
    <row r="92" spans="2:30" x14ac:dyDescent="0.25">
      <c r="V92" s="16"/>
      <c r="W92" s="16"/>
      <c r="X92" s="16"/>
      <c r="Y92" s="16"/>
      <c r="Z92" s="16"/>
      <c r="AA92" s="16"/>
      <c r="AB92" s="16"/>
      <c r="AC92" s="16"/>
      <c r="AD92" s="16"/>
    </row>
    <row r="93" spans="2:30" x14ac:dyDescent="0.25"/>
    <row r="94" spans="2:30" x14ac:dyDescent="0.25"/>
    <row r="95" spans="2:30" x14ac:dyDescent="0.25"/>
    <row r="96" spans="2:30" x14ac:dyDescent="0.25"/>
    <row r="97" x14ac:dyDescent="0.25"/>
    <row r="98" x14ac:dyDescent="0.25"/>
  </sheetData>
  <sheetProtection algorithmName="SHA-512" hashValue="rbd6seDqv1aoBwjVEbn3133d2e4tnE9v/CUwyjGwEwU7AULdqqSIGsMeqkLDXHUzrsndbrJ+XgPyZkuA8lBJ6A==" saltValue="rp0Oe42w0p1xj7+hu1YrlA==" spinCount="100000" sheet="1" objects="1" scenarios="1" selectLockedCells="1"/>
  <mergeCells count="83">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E80:I80"/>
    <mergeCell ref="E81:I81"/>
    <mergeCell ref="E67:I67"/>
    <mergeCell ref="E68:I68"/>
    <mergeCell ref="E69:I69"/>
    <mergeCell ref="E70:I70"/>
    <mergeCell ref="E71:I71"/>
    <mergeCell ref="E56:I56"/>
    <mergeCell ref="E57:I57"/>
    <mergeCell ref="E58:I58"/>
    <mergeCell ref="E59:I59"/>
    <mergeCell ref="E63:T63"/>
    <mergeCell ref="G62:J62"/>
    <mergeCell ref="F61:J61"/>
    <mergeCell ref="T38:X38"/>
    <mergeCell ref="T27:X27"/>
    <mergeCell ref="T28:X28"/>
    <mergeCell ref="T29:X29"/>
    <mergeCell ref="T30:X30"/>
    <mergeCell ref="T31:X31"/>
    <mergeCell ref="T33:X3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s>
  <dataValidations count="4">
    <dataValidation type="list" allowBlank="1" showInputMessage="1" showErrorMessage="1" sqref="Y16 N22:N24 K16:L16 Y24 N27:N44 Y27:Y44" xr:uid="{E6DC8A56-E92E-46F6-BBF2-952F18BC3B2D}">
      <formula1>"Yes,No"</formula1>
    </dataValidation>
    <dataValidation type="list" allowBlank="1" showInputMessage="1" showErrorMessage="1" sqref="Y21" xr:uid="{E363D278-5B8A-4577-9882-82D958FBBE5D}">
      <formula1>"Wensum, Yare, Bure"</formula1>
    </dataValidation>
    <dataValidation type="list" allowBlank="1" showInputMessage="1" showErrorMessage="1" sqref="Y22" xr:uid="{2480826A-6731-4237-8754-C8F2BFE5DC89}">
      <formula1>"Freely draining, Impermeable - drained for arable, Impermeable - drained for arable and grassland"</formula1>
    </dataValidation>
    <dataValidation type="list" allowBlank="1" showInputMessage="1" showErrorMessage="1" sqref="Y23" xr:uid="{9EAD6338-C63C-42E9-8E55-D727E1317DF2}">
      <formula1>"550-575,575-600,600-625,625-650,650-675,675-700,700-750,750-800,800-850,850-900"</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38E8-23FB-4EF4-93D7-F20AF82EABDB}">
  <sheetPr>
    <tabColor theme="7" tint="0.79998168889431442"/>
    <pageSetUpPr fitToPage="1"/>
  </sheetPr>
  <dimension ref="A1:AO90"/>
  <sheetViews>
    <sheetView zoomScaleNormal="100" workbookViewId="0">
      <selection activeCell="K15" sqref="K15:L15"/>
    </sheetView>
  </sheetViews>
  <sheetFormatPr defaultRowHeight="12.5" zeroHeight="1" x14ac:dyDescent="0.25"/>
  <cols>
    <col min="2" max="3" width="0.81640625" customWidth="1"/>
    <col min="4" max="4" width="2.26953125" customWidth="1"/>
    <col min="5" max="5" width="10.7265625" customWidth="1"/>
    <col min="7" max="7" width="10" customWidth="1"/>
    <col min="8" max="8" width="10.26953125" customWidth="1"/>
    <col min="9" max="9" width="14" customWidth="1"/>
    <col min="10" max="10" width="13.54296875" customWidth="1"/>
    <col min="11" max="11" width="10.453125" customWidth="1"/>
    <col min="12" max="12" width="1.7265625" customWidth="1"/>
    <col min="13" max="13" width="9.26953125" customWidth="1"/>
    <col min="14" max="14" width="13.81640625" customWidth="1"/>
    <col min="15" max="15" width="10.54296875" customWidth="1"/>
    <col min="16" max="16" width="2.26953125" customWidth="1"/>
    <col min="17" max="17" width="10.1796875" customWidth="1"/>
    <col min="18" max="18" width="5.453125" customWidth="1"/>
    <col min="19" max="19" width="0.81640625" customWidth="1"/>
    <col min="20" max="20" width="12.26953125" customWidth="1"/>
    <col min="22" max="22" width="25.54296875" customWidth="1"/>
    <col min="23" max="23" width="12.1796875" customWidth="1"/>
    <col min="24" max="24" width="10.1796875" hidden="1" customWidth="1"/>
    <col min="25" max="25" width="8.36328125" customWidth="1"/>
    <col min="26" max="26" width="1.54296875" customWidth="1"/>
    <col min="27" max="27" width="1.90625" customWidth="1"/>
    <col min="32" max="32" width="8.7265625" customWidth="1"/>
  </cols>
  <sheetData>
    <row r="1" spans="1:36" ht="10" customHeight="1" thickBot="1" x14ac:dyDescent="0.35">
      <c r="A1" s="418" t="s">
        <v>566</v>
      </c>
      <c r="T1" s="16"/>
      <c r="U1" s="16"/>
      <c r="V1" s="16"/>
      <c r="W1" s="16"/>
      <c r="X1" s="16"/>
      <c r="Y1" s="16"/>
      <c r="Z1" s="16"/>
      <c r="AA1" s="16"/>
      <c r="AB1" s="16"/>
    </row>
    <row r="2" spans="1:36" ht="9" customHeight="1" x14ac:dyDescent="0.3">
      <c r="B2" s="49"/>
      <c r="C2" s="50"/>
      <c r="D2" s="50"/>
      <c r="E2" s="50"/>
      <c r="F2" s="50"/>
      <c r="G2" s="50"/>
      <c r="H2" s="50"/>
      <c r="I2" s="50"/>
      <c r="J2" s="50"/>
      <c r="K2" s="50"/>
      <c r="L2" s="50"/>
      <c r="M2" s="50"/>
      <c r="N2" s="50"/>
      <c r="O2" s="50"/>
      <c r="P2" s="50"/>
      <c r="Q2" s="50"/>
      <c r="R2" s="50"/>
      <c r="S2" s="51"/>
      <c r="T2" s="207"/>
      <c r="U2" s="207"/>
      <c r="V2" s="207"/>
      <c r="W2" s="207"/>
      <c r="X2" s="207"/>
      <c r="Y2" s="207"/>
      <c r="Z2" s="207"/>
      <c r="AA2" s="207"/>
      <c r="AB2" s="16"/>
    </row>
    <row r="3" spans="1:36" ht="28.5" customHeight="1" x14ac:dyDescent="0.35">
      <c r="B3" s="52"/>
      <c r="C3" s="252"/>
      <c r="D3" s="310"/>
      <c r="E3" s="218" t="s">
        <v>566</v>
      </c>
      <c r="F3" s="502" t="s">
        <v>433</v>
      </c>
      <c r="G3" s="502"/>
      <c r="H3" s="502"/>
      <c r="I3" s="502"/>
      <c r="J3" s="502"/>
      <c r="K3" s="502"/>
      <c r="L3" s="502"/>
      <c r="M3" s="502"/>
      <c r="N3" s="502"/>
      <c r="O3" s="502"/>
      <c r="P3" s="502"/>
      <c r="Q3" s="502"/>
      <c r="R3" s="502"/>
      <c r="S3" s="350"/>
      <c r="T3" s="351"/>
      <c r="U3" s="351"/>
      <c r="V3" s="351"/>
      <c r="W3" s="351"/>
      <c r="X3" s="351"/>
      <c r="Y3" s="351"/>
      <c r="Z3" s="351"/>
      <c r="AA3" s="351"/>
      <c r="AB3" s="16"/>
    </row>
    <row r="4" spans="1:36" ht="6.75" customHeight="1" x14ac:dyDescent="0.35">
      <c r="B4" s="52"/>
      <c r="C4" s="311"/>
      <c r="D4" s="311"/>
      <c r="E4" s="497" t="s">
        <v>611</v>
      </c>
      <c r="F4" s="497"/>
      <c r="G4" s="497"/>
      <c r="H4" s="497"/>
      <c r="I4" s="497"/>
      <c r="J4" s="497"/>
      <c r="K4" s="497"/>
      <c r="L4" s="497"/>
      <c r="M4" s="497"/>
      <c r="N4" s="497"/>
      <c r="O4" s="497"/>
      <c r="P4" s="497"/>
      <c r="Q4" s="497"/>
      <c r="R4" s="497"/>
      <c r="S4" s="350"/>
      <c r="T4" s="351"/>
      <c r="U4" s="351"/>
      <c r="V4" s="351"/>
      <c r="W4" s="351"/>
      <c r="X4" s="351"/>
      <c r="Y4" s="351"/>
      <c r="Z4" s="351"/>
      <c r="AA4" s="351"/>
      <c r="AB4" s="16"/>
    </row>
    <row r="5" spans="1:36" ht="6.75" customHeight="1" x14ac:dyDescent="0.35">
      <c r="B5" s="52"/>
      <c r="C5" s="311"/>
      <c r="D5" s="311"/>
      <c r="E5" s="497"/>
      <c r="F5" s="497"/>
      <c r="G5" s="497"/>
      <c r="H5" s="497"/>
      <c r="I5" s="497"/>
      <c r="J5" s="497"/>
      <c r="K5" s="497"/>
      <c r="L5" s="497"/>
      <c r="M5" s="497"/>
      <c r="N5" s="497"/>
      <c r="O5" s="497"/>
      <c r="P5" s="497"/>
      <c r="Q5" s="497"/>
      <c r="R5" s="497"/>
      <c r="S5" s="350"/>
      <c r="T5" s="351"/>
      <c r="U5" s="351"/>
      <c r="V5" s="351"/>
      <c r="W5" s="351"/>
      <c r="X5" s="351"/>
      <c r="Y5" s="351"/>
      <c r="Z5" s="351"/>
      <c r="AA5" s="351"/>
      <c r="AB5" s="16"/>
    </row>
    <row r="6" spans="1:36" ht="24.75" customHeight="1" x14ac:dyDescent="0.35">
      <c r="B6" s="52"/>
      <c r="C6" s="250"/>
      <c r="D6" s="250"/>
      <c r="E6" s="497"/>
      <c r="F6" s="497"/>
      <c r="G6" s="497"/>
      <c r="H6" s="497"/>
      <c r="I6" s="497"/>
      <c r="J6" s="497"/>
      <c r="K6" s="497"/>
      <c r="L6" s="497"/>
      <c r="M6" s="497"/>
      <c r="N6" s="497"/>
      <c r="O6" s="497"/>
      <c r="P6" s="497"/>
      <c r="Q6" s="497"/>
      <c r="R6" s="497"/>
      <c r="S6" s="350"/>
      <c r="T6" s="351"/>
      <c r="U6" s="351"/>
      <c r="V6" s="351"/>
      <c r="W6" s="351"/>
      <c r="X6" s="351"/>
      <c r="Y6" s="351"/>
      <c r="Z6" s="351"/>
      <c r="AA6" s="351"/>
      <c r="AB6" s="16"/>
    </row>
    <row r="7" spans="1:36" ht="21" customHeight="1" x14ac:dyDescent="0.35">
      <c r="B7" s="52"/>
      <c r="C7" s="250"/>
      <c r="D7" s="303"/>
      <c r="E7" s="312"/>
      <c r="F7" s="312"/>
      <c r="G7" s="312"/>
      <c r="H7" s="312"/>
      <c r="I7" s="312"/>
      <c r="J7" s="312"/>
      <c r="K7" s="312"/>
      <c r="L7" s="312"/>
      <c r="M7" s="312"/>
      <c r="N7" s="312"/>
      <c r="O7" s="312"/>
      <c r="P7" s="312"/>
      <c r="Q7" s="312"/>
      <c r="R7" s="312"/>
      <c r="S7" s="350"/>
      <c r="T7" s="351"/>
      <c r="U7" s="351"/>
      <c r="V7" s="351"/>
      <c r="W7" s="351"/>
      <c r="X7" s="351"/>
      <c r="Y7" s="351"/>
      <c r="Z7" s="351"/>
      <c r="AA7" s="351"/>
      <c r="AB7" s="16"/>
    </row>
    <row r="8" spans="1:36" ht="37.5" customHeight="1" x14ac:dyDescent="0.35">
      <c r="B8" s="52"/>
      <c r="C8" s="250"/>
      <c r="D8" s="250"/>
      <c r="E8" s="54" t="s">
        <v>5</v>
      </c>
      <c r="F8" s="447" t="s">
        <v>506</v>
      </c>
      <c r="G8" s="447"/>
      <c r="H8" s="447"/>
      <c r="I8" s="447"/>
      <c r="J8" s="447"/>
      <c r="K8" s="161" t="s">
        <v>2</v>
      </c>
      <c r="L8" s="161"/>
      <c r="M8" s="161" t="s">
        <v>3</v>
      </c>
      <c r="N8" s="161"/>
      <c r="O8" s="161"/>
      <c r="P8" s="161"/>
      <c r="Q8" s="161"/>
      <c r="R8" s="56"/>
      <c r="S8" s="350"/>
      <c r="T8" s="351"/>
      <c r="U8" s="351"/>
      <c r="V8" s="351"/>
      <c r="W8" s="351"/>
      <c r="X8" s="351"/>
      <c r="Y8" s="351"/>
      <c r="Z8" s="351"/>
      <c r="AA8" s="351"/>
      <c r="AB8" s="16"/>
    </row>
    <row r="9" spans="1:36" ht="7.5" customHeight="1" x14ac:dyDescent="0.35">
      <c r="B9" s="52"/>
      <c r="C9" s="250"/>
      <c r="D9" s="250"/>
      <c r="E9" s="56"/>
      <c r="F9" s="56"/>
      <c r="G9" s="56"/>
      <c r="H9" s="56"/>
      <c r="I9" s="56"/>
      <c r="J9" s="56"/>
      <c r="K9" s="56"/>
      <c r="L9" s="56"/>
      <c r="M9" s="56"/>
      <c r="N9" s="56"/>
      <c r="O9" s="56"/>
      <c r="P9" s="56"/>
      <c r="Q9" s="56"/>
      <c r="R9" s="56"/>
      <c r="S9" s="350"/>
      <c r="T9" s="351"/>
      <c r="U9" s="351"/>
      <c r="V9" s="351"/>
      <c r="W9" s="351"/>
      <c r="X9" s="351"/>
      <c r="Y9" s="351"/>
      <c r="Z9" s="351"/>
      <c r="AA9" s="351"/>
      <c r="AB9" s="16"/>
    </row>
    <row r="10" spans="1:36" ht="31" customHeight="1" x14ac:dyDescent="0.35">
      <c r="B10" s="52"/>
      <c r="C10" s="250"/>
      <c r="D10" s="250"/>
      <c r="E10" s="56"/>
      <c r="F10" s="44" t="s">
        <v>435</v>
      </c>
      <c r="G10" s="56"/>
      <c r="H10" s="56"/>
      <c r="I10" s="56"/>
      <c r="J10" s="56"/>
      <c r="K10" s="304" t="str">
        <f>IF('Stage 4'!M43&gt;0,'Stage 4'!M43,0)</f>
        <v/>
      </c>
      <c r="L10" s="297"/>
      <c r="M10" s="272" t="s">
        <v>15</v>
      </c>
      <c r="N10" s="272"/>
      <c r="O10" s="272"/>
      <c r="P10" s="272"/>
      <c r="Q10" s="272"/>
      <c r="R10" s="56"/>
      <c r="S10" s="350"/>
      <c r="T10" s="351"/>
      <c r="U10" s="351"/>
      <c r="V10" s="351"/>
      <c r="W10" s="351"/>
      <c r="X10" s="351"/>
      <c r="Y10" s="351"/>
      <c r="Z10" s="351"/>
      <c r="AA10" s="351"/>
      <c r="AB10" s="16"/>
      <c r="AC10" s="16"/>
      <c r="AD10" s="16"/>
      <c r="AE10" s="16"/>
      <c r="AF10" s="16"/>
      <c r="AG10" s="16"/>
      <c r="AH10" s="16"/>
      <c r="AI10" s="16"/>
      <c r="AJ10" s="16"/>
    </row>
    <row r="11" spans="1:36" ht="17.5" customHeight="1" thickBot="1" x14ac:dyDescent="0.4">
      <c r="B11" s="52"/>
      <c r="C11" s="250"/>
      <c r="D11" s="250"/>
      <c r="E11" s="56"/>
      <c r="F11" s="56"/>
      <c r="G11" s="56"/>
      <c r="H11" s="56"/>
      <c r="I11" s="56"/>
      <c r="J11" s="56"/>
      <c r="K11" s="56"/>
      <c r="L11" s="56"/>
      <c r="M11" s="56"/>
      <c r="N11" s="56"/>
      <c r="O11" s="56"/>
      <c r="P11" s="56"/>
      <c r="Q11" s="274"/>
      <c r="R11" s="274"/>
      <c r="S11" s="350"/>
      <c r="T11" s="352"/>
      <c r="U11" s="353"/>
      <c r="V11" s="353"/>
      <c r="W11" s="353"/>
      <c r="X11" s="353"/>
      <c r="Y11" s="353"/>
      <c r="Z11" s="353"/>
      <c r="AA11" s="353"/>
      <c r="AB11" s="16"/>
      <c r="AC11" s="16"/>
      <c r="AD11" s="16"/>
      <c r="AE11" s="16"/>
      <c r="AF11" s="16"/>
      <c r="AG11" s="16"/>
      <c r="AH11" s="16"/>
      <c r="AI11" s="16"/>
      <c r="AJ11" s="16"/>
    </row>
    <row r="12" spans="1:36" ht="7" customHeight="1" x14ac:dyDescent="0.35">
      <c r="B12" s="52"/>
      <c r="C12" s="250"/>
      <c r="D12" s="303"/>
      <c r="E12" s="286"/>
      <c r="F12" s="286"/>
      <c r="G12" s="286"/>
      <c r="H12" s="286"/>
      <c r="I12" s="286"/>
      <c r="J12" s="286"/>
      <c r="K12" s="286"/>
      <c r="L12" s="286"/>
      <c r="M12" s="286"/>
      <c r="N12" s="286"/>
      <c r="O12" s="286"/>
      <c r="P12" s="286"/>
      <c r="Q12" s="56"/>
      <c r="R12" s="56"/>
      <c r="S12" s="354"/>
      <c r="T12" s="355"/>
      <c r="U12" s="355"/>
      <c r="V12" s="355"/>
      <c r="W12" s="355"/>
      <c r="X12" s="355"/>
      <c r="Y12" s="355"/>
      <c r="Z12" s="355"/>
      <c r="AA12" s="356"/>
      <c r="AB12" s="14"/>
      <c r="AC12" s="16"/>
      <c r="AD12" s="16"/>
      <c r="AE12" s="16"/>
      <c r="AF12" s="16"/>
      <c r="AG12" s="16"/>
      <c r="AH12" s="16"/>
      <c r="AI12" s="16"/>
      <c r="AJ12" s="16"/>
    </row>
    <row r="13" spans="1:36" ht="16" customHeight="1" x14ac:dyDescent="0.35">
      <c r="B13" s="52"/>
      <c r="C13" s="250"/>
      <c r="D13" s="250"/>
      <c r="E13" s="54" t="s">
        <v>8</v>
      </c>
      <c r="F13" s="447" t="s">
        <v>65</v>
      </c>
      <c r="G13" s="447"/>
      <c r="H13" s="447"/>
      <c r="I13" s="447"/>
      <c r="J13" s="447"/>
      <c r="K13" s="262"/>
      <c r="L13" s="262"/>
      <c r="M13" s="262"/>
      <c r="N13" s="262"/>
      <c r="O13" s="262"/>
      <c r="P13" s="262"/>
      <c r="Q13" s="262"/>
      <c r="R13" s="262"/>
      <c r="S13" s="262"/>
      <c r="T13" s="262"/>
      <c r="U13" s="262"/>
      <c r="V13" s="262"/>
      <c r="W13" s="262"/>
      <c r="X13" s="262"/>
      <c r="Y13" s="262"/>
      <c r="Z13" s="262"/>
      <c r="AA13" s="357"/>
      <c r="AB13" s="14"/>
      <c r="AC13" s="16"/>
      <c r="AD13" s="16"/>
      <c r="AE13" s="16"/>
      <c r="AF13" s="16"/>
      <c r="AG13" s="16"/>
      <c r="AH13" s="16"/>
      <c r="AI13" s="16"/>
      <c r="AJ13" s="16"/>
    </row>
    <row r="14" spans="1:36" ht="10.5" customHeight="1" x14ac:dyDescent="0.35">
      <c r="B14" s="52"/>
      <c r="C14" s="250"/>
      <c r="D14" s="250"/>
      <c r="E14" s="56"/>
      <c r="F14" s="56"/>
      <c r="G14" s="56"/>
      <c r="H14" s="56"/>
      <c r="I14" s="56"/>
      <c r="J14" s="56"/>
      <c r="K14" s="56"/>
      <c r="L14" s="56"/>
      <c r="M14" s="56"/>
      <c r="N14" s="56"/>
      <c r="O14" s="285"/>
      <c r="P14" s="56"/>
      <c r="Q14" s="56"/>
      <c r="R14" s="56"/>
      <c r="S14" s="56"/>
      <c r="T14" s="262"/>
      <c r="U14" s="262"/>
      <c r="V14" s="262"/>
      <c r="W14" s="76"/>
      <c r="X14" s="262"/>
      <c r="Y14" s="262"/>
      <c r="Z14" s="262"/>
      <c r="AA14" s="357"/>
      <c r="AB14" s="14"/>
      <c r="AC14" s="16"/>
      <c r="AD14" s="16"/>
      <c r="AE14" s="16"/>
      <c r="AF14" s="16"/>
      <c r="AG14" s="16"/>
      <c r="AH14" s="16"/>
      <c r="AI14" s="16"/>
      <c r="AJ14" s="16"/>
    </row>
    <row r="15" spans="1:36" ht="14.5" customHeight="1" x14ac:dyDescent="0.35">
      <c r="B15" s="52"/>
      <c r="C15" s="250"/>
      <c r="D15" s="250"/>
      <c r="E15" s="76" t="s">
        <v>58</v>
      </c>
      <c r="F15" s="56" t="s">
        <v>82</v>
      </c>
      <c r="G15" s="56"/>
      <c r="H15" s="56"/>
      <c r="I15" s="56"/>
      <c r="J15" s="56"/>
      <c r="K15" s="520" t="s">
        <v>62</v>
      </c>
      <c r="L15" s="520"/>
      <c r="M15" s="76"/>
      <c r="N15" s="56"/>
      <c r="O15" s="285"/>
      <c r="P15" s="56"/>
      <c r="Q15" s="77"/>
      <c r="R15" s="447" t="s">
        <v>83</v>
      </c>
      <c r="S15" s="447"/>
      <c r="T15" s="447"/>
      <c r="U15" s="447"/>
      <c r="V15" s="447"/>
      <c r="W15" s="358" t="s">
        <v>62</v>
      </c>
      <c r="X15" s="262"/>
      <c r="Y15" s="262"/>
      <c r="Z15" s="262"/>
      <c r="AA15" s="357"/>
      <c r="AB15" s="14"/>
      <c r="AC15" s="16"/>
      <c r="AD15" s="16"/>
      <c r="AE15" s="16"/>
      <c r="AF15" s="16"/>
      <c r="AG15" s="16"/>
      <c r="AH15" s="16"/>
      <c r="AI15" s="16"/>
      <c r="AJ15" s="16"/>
    </row>
    <row r="16" spans="1:36" ht="14.5" customHeight="1" x14ac:dyDescent="0.35">
      <c r="B16" s="52"/>
      <c r="C16" s="250"/>
      <c r="D16" s="250"/>
      <c r="E16" s="56"/>
      <c r="F16" s="56"/>
      <c r="G16" s="56"/>
      <c r="H16" s="56"/>
      <c r="I16" s="56"/>
      <c r="J16" s="56"/>
      <c r="K16" s="56"/>
      <c r="L16" s="56"/>
      <c r="M16" s="56"/>
      <c r="N16" s="56"/>
      <c r="O16" s="285"/>
      <c r="P16" s="56"/>
      <c r="Q16" s="56"/>
      <c r="R16" s="262"/>
      <c r="S16" s="262"/>
      <c r="T16" s="262"/>
      <c r="U16" s="262"/>
      <c r="V16" s="262"/>
      <c r="W16" s="262"/>
      <c r="X16" s="262"/>
      <c r="Y16" s="262"/>
      <c r="Z16" s="262"/>
      <c r="AA16" s="357"/>
      <c r="AB16" s="14"/>
      <c r="AC16" s="16"/>
      <c r="AD16" s="16"/>
      <c r="AE16" s="16"/>
      <c r="AF16" s="16"/>
      <c r="AG16" s="16"/>
      <c r="AH16" s="16"/>
      <c r="AI16" s="16"/>
      <c r="AJ16" s="16"/>
    </row>
    <row r="17" spans="2:41" ht="61.5" customHeight="1" x14ac:dyDescent="0.35">
      <c r="B17" s="52"/>
      <c r="C17" s="250"/>
      <c r="D17" s="250"/>
      <c r="E17" s="519" t="s">
        <v>91</v>
      </c>
      <c r="F17" s="519"/>
      <c r="G17" s="519"/>
      <c r="H17" s="519"/>
      <c r="I17" s="519"/>
      <c r="J17" s="519"/>
      <c r="K17" s="519"/>
      <c r="L17" s="519"/>
      <c r="M17" s="519"/>
      <c r="N17" s="519"/>
      <c r="O17" s="285"/>
      <c r="P17" s="56"/>
      <c r="Q17" s="56"/>
      <c r="R17" s="521" t="s">
        <v>88</v>
      </c>
      <c r="S17" s="521"/>
      <c r="T17" s="521"/>
      <c r="U17" s="521"/>
      <c r="V17" s="521"/>
      <c r="W17" s="521"/>
      <c r="X17" s="521"/>
      <c r="Y17" s="359"/>
      <c r="Z17" s="359"/>
      <c r="AA17" s="357"/>
      <c r="AB17" s="14"/>
      <c r="AC17" s="16"/>
      <c r="AD17" s="16"/>
      <c r="AE17" s="16"/>
      <c r="AF17" s="16"/>
      <c r="AG17" s="16"/>
      <c r="AH17" s="16"/>
      <c r="AI17" s="16"/>
      <c r="AJ17" s="16"/>
    </row>
    <row r="18" spans="2:41" ht="14.5" customHeight="1" x14ac:dyDescent="0.35">
      <c r="B18" s="52"/>
      <c r="C18" s="250"/>
      <c r="D18" s="250"/>
      <c r="E18" s="56"/>
      <c r="F18" s="56"/>
      <c r="G18" s="56"/>
      <c r="H18" s="56"/>
      <c r="I18" s="56"/>
      <c r="J18" s="56"/>
      <c r="K18" s="56"/>
      <c r="L18" s="56"/>
      <c r="M18" s="56"/>
      <c r="N18" s="56"/>
      <c r="O18" s="285"/>
      <c r="P18" s="56"/>
      <c r="Q18" s="56"/>
      <c r="R18" s="447" t="s">
        <v>87</v>
      </c>
      <c r="S18" s="447"/>
      <c r="T18" s="447"/>
      <c r="U18" s="447"/>
      <c r="V18" s="447"/>
      <c r="W18" s="447"/>
      <c r="X18" s="447"/>
      <c r="Y18" s="262"/>
      <c r="Z18" s="262"/>
      <c r="AA18" s="357"/>
      <c r="AB18" s="14"/>
      <c r="AC18" s="16"/>
      <c r="AD18" s="16"/>
      <c r="AE18" s="16"/>
      <c r="AF18" s="16"/>
      <c r="AG18" s="16"/>
      <c r="AH18" s="16"/>
      <c r="AI18" s="16"/>
      <c r="AJ18" s="16"/>
    </row>
    <row r="19" spans="2:41" ht="16" customHeight="1" x14ac:dyDescent="0.35">
      <c r="B19" s="52"/>
      <c r="C19" s="250"/>
      <c r="D19" s="250"/>
      <c r="E19" s="76"/>
      <c r="F19" s="496" t="s">
        <v>137</v>
      </c>
      <c r="G19" s="496"/>
      <c r="H19" s="496"/>
      <c r="I19" s="496"/>
      <c r="J19" s="496"/>
      <c r="K19" s="161" t="s">
        <v>2</v>
      </c>
      <c r="L19" s="161"/>
      <c r="M19" s="76"/>
      <c r="N19" s="161" t="s">
        <v>3</v>
      </c>
      <c r="O19" s="285"/>
      <c r="P19" s="56"/>
      <c r="Q19" s="56"/>
      <c r="R19" s="249"/>
      <c r="S19" s="249"/>
      <c r="T19" s="249"/>
      <c r="U19" s="249"/>
      <c r="V19" s="249"/>
      <c r="W19" s="249"/>
      <c r="X19" s="249"/>
      <c r="Y19" s="159"/>
      <c r="Z19" s="159"/>
      <c r="AA19" s="357"/>
      <c r="AB19" s="14"/>
      <c r="AC19" s="16"/>
      <c r="AD19" s="16"/>
      <c r="AE19" s="16"/>
      <c r="AF19" s="16"/>
      <c r="AG19" s="16"/>
      <c r="AH19" s="16"/>
      <c r="AI19" s="16"/>
      <c r="AJ19" s="16"/>
    </row>
    <row r="20" spans="2:41" ht="13.5" customHeight="1" x14ac:dyDescent="0.35">
      <c r="B20" s="52"/>
      <c r="C20" s="250"/>
      <c r="D20" s="250"/>
      <c r="E20" s="56"/>
      <c r="F20" s="56"/>
      <c r="G20" s="56"/>
      <c r="H20" s="56"/>
      <c r="I20" s="56"/>
      <c r="J20" s="56"/>
      <c r="K20" s="161" t="s">
        <v>436</v>
      </c>
      <c r="L20" s="56"/>
      <c r="M20" s="262"/>
      <c r="N20" s="56"/>
      <c r="O20" s="285"/>
      <c r="P20" s="56"/>
      <c r="Q20" s="56"/>
      <c r="R20" s="447" t="s">
        <v>380</v>
      </c>
      <c r="S20" s="447"/>
      <c r="T20" s="447"/>
      <c r="U20" s="447"/>
      <c r="V20" s="447"/>
      <c r="W20" s="263" t="s">
        <v>385</v>
      </c>
      <c r="X20" s="262"/>
      <c r="Y20" s="262"/>
      <c r="Z20" s="262"/>
      <c r="AA20" s="357"/>
      <c r="AB20" s="14"/>
      <c r="AC20" s="16"/>
      <c r="AD20" s="16"/>
      <c r="AE20" s="16"/>
      <c r="AF20" s="16"/>
      <c r="AG20" s="16"/>
      <c r="AH20" s="16"/>
      <c r="AI20" s="16"/>
      <c r="AJ20" s="16"/>
    </row>
    <row r="21" spans="2:41" ht="41.15" customHeight="1" x14ac:dyDescent="0.35">
      <c r="B21" s="52"/>
      <c r="C21" s="250"/>
      <c r="D21" s="250"/>
      <c r="E21" s="56"/>
      <c r="F21" s="495" t="s">
        <v>85</v>
      </c>
      <c r="G21" s="495"/>
      <c r="H21" s="495"/>
      <c r="I21" s="495"/>
      <c r="J21" s="495"/>
      <c r="K21" s="304" t="e">
        <f>'Stage 2'!K46/'Stage 2'!K41</f>
        <v>#DIV/0!</v>
      </c>
      <c r="L21" s="297"/>
      <c r="M21" s="358" t="s">
        <v>62</v>
      </c>
      <c r="N21" s="272" t="s">
        <v>81</v>
      </c>
      <c r="O21" s="285"/>
      <c r="P21" s="56"/>
      <c r="Q21" s="54"/>
      <c r="R21" s="447" t="s">
        <v>379</v>
      </c>
      <c r="S21" s="447"/>
      <c r="T21" s="447"/>
      <c r="U21" s="447"/>
      <c r="V21" s="447"/>
      <c r="W21" s="284" t="s">
        <v>384</v>
      </c>
      <c r="X21" s="56"/>
      <c r="Y21" s="159"/>
      <c r="Z21" s="159"/>
      <c r="AA21" s="357"/>
      <c r="AB21" s="14"/>
      <c r="AC21" s="16"/>
      <c r="AD21" s="16"/>
      <c r="AE21" s="16"/>
      <c r="AF21" s="16"/>
      <c r="AG21" s="16"/>
      <c r="AH21" s="16"/>
      <c r="AI21" s="16"/>
      <c r="AJ21" s="16"/>
    </row>
    <row r="22" spans="2:41" ht="16" customHeight="1" x14ac:dyDescent="0.35">
      <c r="B22" s="52"/>
      <c r="C22" s="250"/>
      <c r="D22" s="250"/>
      <c r="E22" s="56"/>
      <c r="F22" s="163"/>
      <c r="G22" s="163"/>
      <c r="H22" s="163"/>
      <c r="I22" s="163"/>
      <c r="J22" s="163"/>
      <c r="K22" s="297"/>
      <c r="L22" s="297"/>
      <c r="M22" s="360"/>
      <c r="N22" s="272"/>
      <c r="O22" s="285"/>
      <c r="P22" s="56"/>
      <c r="Q22" s="54"/>
      <c r="R22" s="447" t="s">
        <v>383</v>
      </c>
      <c r="S22" s="447"/>
      <c r="T22" s="447"/>
      <c r="U22" s="447"/>
      <c r="V22" s="447"/>
      <c r="W22" s="263" t="s">
        <v>476</v>
      </c>
      <c r="X22" s="159"/>
      <c r="Y22" s="159"/>
      <c r="Z22" s="159"/>
      <c r="AA22" s="357"/>
      <c r="AB22" s="14"/>
      <c r="AC22" s="16"/>
      <c r="AD22" s="16"/>
      <c r="AE22" s="16"/>
      <c r="AF22" s="16"/>
      <c r="AG22" s="16"/>
      <c r="AH22" s="16"/>
      <c r="AI22" s="16"/>
      <c r="AJ22" s="16"/>
    </row>
    <row r="23" spans="2:41" ht="16" customHeight="1" x14ac:dyDescent="0.35">
      <c r="B23" s="52"/>
      <c r="C23" s="250"/>
      <c r="D23" s="250"/>
      <c r="E23" s="56"/>
      <c r="F23" s="163"/>
      <c r="G23" s="163"/>
      <c r="H23" s="163"/>
      <c r="I23" s="163"/>
      <c r="J23" s="163"/>
      <c r="K23" s="297"/>
      <c r="L23" s="297"/>
      <c r="M23" s="360"/>
      <c r="N23" s="272"/>
      <c r="O23" s="285"/>
      <c r="P23" s="56"/>
      <c r="Q23" s="54"/>
      <c r="R23" s="447" t="s">
        <v>381</v>
      </c>
      <c r="S23" s="447"/>
      <c r="T23" s="447"/>
      <c r="U23" s="447"/>
      <c r="V23" s="447"/>
      <c r="W23" s="263" t="s">
        <v>13</v>
      </c>
      <c r="X23" s="159"/>
      <c r="Y23" s="159"/>
      <c r="Z23" s="159"/>
      <c r="AA23" s="357"/>
      <c r="AB23" s="14"/>
      <c r="AC23" s="16"/>
      <c r="AD23" s="16"/>
      <c r="AE23" s="16"/>
      <c r="AF23" s="16"/>
      <c r="AG23" s="16"/>
      <c r="AH23" s="16"/>
      <c r="AI23" s="16"/>
      <c r="AJ23" s="16"/>
    </row>
    <row r="24" spans="2:41" ht="36.65" customHeight="1" x14ac:dyDescent="0.35">
      <c r="B24" s="52"/>
      <c r="C24" s="250"/>
      <c r="D24" s="250"/>
      <c r="E24" s="56"/>
      <c r="F24" s="44"/>
      <c r="G24" s="56"/>
      <c r="H24" s="56"/>
      <c r="I24" s="56"/>
      <c r="J24" s="56"/>
      <c r="K24" s="297"/>
      <c r="L24" s="297"/>
      <c r="M24" s="361"/>
      <c r="N24" s="272"/>
      <c r="O24" s="285"/>
      <c r="P24" s="56"/>
      <c r="Q24" s="522"/>
      <c r="R24" s="522"/>
      <c r="S24" s="522"/>
      <c r="T24" s="522"/>
      <c r="U24" s="522"/>
      <c r="V24" s="522"/>
      <c r="W24" s="522"/>
      <c r="X24" s="522"/>
      <c r="Y24" s="522"/>
      <c r="Z24" s="522"/>
      <c r="AA24" s="523"/>
      <c r="AB24" s="14"/>
      <c r="AC24" s="16"/>
      <c r="AD24" s="16"/>
      <c r="AE24" s="16"/>
      <c r="AF24" s="16"/>
      <c r="AG24" s="16"/>
      <c r="AH24" s="16"/>
      <c r="AI24" s="16"/>
      <c r="AJ24" s="16"/>
    </row>
    <row r="25" spans="2:41" ht="24" customHeight="1" x14ac:dyDescent="0.35">
      <c r="B25" s="52"/>
      <c r="C25" s="250"/>
      <c r="D25" s="250"/>
      <c r="E25" s="56"/>
      <c r="F25" s="495" t="s">
        <v>84</v>
      </c>
      <c r="G25" s="495"/>
      <c r="H25" s="495"/>
      <c r="I25" s="495"/>
      <c r="J25" s="495"/>
      <c r="K25" s="161" t="s">
        <v>436</v>
      </c>
      <c r="L25" s="56"/>
      <c r="M25" s="362"/>
      <c r="N25" s="272"/>
      <c r="O25" s="285"/>
      <c r="P25" s="56"/>
      <c r="Q25" s="262"/>
      <c r="R25" s="495" t="s">
        <v>86</v>
      </c>
      <c r="S25" s="495"/>
      <c r="T25" s="495"/>
      <c r="U25" s="495"/>
      <c r="V25" s="495"/>
      <c r="W25" s="262"/>
      <c r="X25" s="262"/>
      <c r="Y25" s="313" t="s">
        <v>396</v>
      </c>
      <c r="Z25" s="313"/>
      <c r="AA25" s="357"/>
      <c r="AB25" s="14"/>
      <c r="AC25" s="16"/>
      <c r="AD25" s="16"/>
      <c r="AE25" s="16"/>
      <c r="AF25" s="16"/>
      <c r="AG25" s="16"/>
      <c r="AH25" s="16"/>
      <c r="AI25" s="16"/>
      <c r="AJ25" s="16"/>
      <c r="AK25" s="16"/>
      <c r="AL25" s="16"/>
      <c r="AM25" s="16"/>
      <c r="AN25" s="16"/>
      <c r="AO25" s="16"/>
    </row>
    <row r="26" spans="2:41" ht="16" customHeight="1" x14ac:dyDescent="0.35">
      <c r="B26" s="52"/>
      <c r="C26" s="250"/>
      <c r="D26" s="250"/>
      <c r="E26" s="518" t="str">
        <f>'Stage 2'!F22</f>
        <v>High density residential</v>
      </c>
      <c r="F26" s="518"/>
      <c r="G26" s="518"/>
      <c r="H26" s="518"/>
      <c r="I26" s="518"/>
      <c r="J26" s="56"/>
      <c r="K26" s="363" t="str">
        <f>IF('Stage 2'!$K22&gt;0,'Stage 2'!O22/'Stage 2'!$K22,"")</f>
        <v/>
      </c>
      <c r="L26" s="297"/>
      <c r="M26" s="358" t="s">
        <v>62</v>
      </c>
      <c r="N26" s="265" t="s">
        <v>81</v>
      </c>
      <c r="O26" s="285"/>
      <c r="P26" s="56"/>
      <c r="Q26" s="262"/>
      <c r="R26" s="518" t="str">
        <f t="shared" ref="R26:R43" si="0">E26</f>
        <v>High density residential</v>
      </c>
      <c r="S26" s="518"/>
      <c r="T26" s="518"/>
      <c r="U26" s="518"/>
      <c r="V26" s="518"/>
      <c r="W26" s="358" t="s">
        <v>62</v>
      </c>
      <c r="X26" s="262"/>
      <c r="Y26" s="315"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80"/>
      <c r="AA26" s="357"/>
      <c r="AB26" s="14"/>
      <c r="AC26" s="16"/>
      <c r="AE26" s="128"/>
      <c r="AF26" s="16"/>
      <c r="AG26" s="128"/>
      <c r="AH26" s="16"/>
      <c r="AI26" s="128"/>
      <c r="AJ26" s="16"/>
      <c r="AK26" s="128"/>
      <c r="AL26" s="16"/>
      <c r="AM26" s="128"/>
      <c r="AN26" s="16"/>
      <c r="AO26" s="16"/>
    </row>
    <row r="27" spans="2:41" ht="16" customHeight="1" x14ac:dyDescent="0.35">
      <c r="B27" s="52"/>
      <c r="C27" s="250"/>
      <c r="D27" s="250"/>
      <c r="E27" s="518" t="str">
        <f>'Stage 2'!F23</f>
        <v>Medium density residential</v>
      </c>
      <c r="F27" s="518"/>
      <c r="G27" s="518"/>
      <c r="H27" s="518"/>
      <c r="I27" s="518"/>
      <c r="J27" s="56"/>
      <c r="K27" s="363" t="str">
        <f>IF('Stage 2'!$K23&gt;0,'Stage 2'!O23/'Stage 2'!$K23,"")</f>
        <v/>
      </c>
      <c r="L27" s="297"/>
      <c r="M27" s="358" t="s">
        <v>62</v>
      </c>
      <c r="N27" s="265" t="s">
        <v>81</v>
      </c>
      <c r="O27" s="285"/>
      <c r="P27" s="56"/>
      <c r="Q27" s="262"/>
      <c r="R27" s="518" t="str">
        <f t="shared" si="0"/>
        <v>Medium density residential</v>
      </c>
      <c r="S27" s="518"/>
      <c r="T27" s="518"/>
      <c r="U27" s="518"/>
      <c r="V27" s="518"/>
      <c r="W27" s="358" t="s">
        <v>62</v>
      </c>
      <c r="X27" s="262"/>
      <c r="Y27" s="315"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80"/>
      <c r="AA27" s="357"/>
      <c r="AB27" s="14"/>
      <c r="AC27" s="16"/>
      <c r="AD27" s="16"/>
      <c r="AE27" s="16"/>
      <c r="AF27" s="16"/>
      <c r="AG27" s="16"/>
      <c r="AH27" s="16"/>
      <c r="AI27" s="16"/>
      <c r="AJ27" s="16"/>
    </row>
    <row r="28" spans="2:41" ht="16" customHeight="1" x14ac:dyDescent="0.35">
      <c r="B28" s="52"/>
      <c r="C28" s="250"/>
      <c r="D28" s="250"/>
      <c r="E28" s="518" t="str">
        <f>'Stage 2'!F24</f>
        <v>Low density residential</v>
      </c>
      <c r="F28" s="518"/>
      <c r="G28" s="518"/>
      <c r="H28" s="518"/>
      <c r="I28" s="518"/>
      <c r="J28" s="56"/>
      <c r="K28" s="363" t="str">
        <f>IF('Stage 2'!$K24&gt;0,'Stage 2'!O24/'Stage 2'!$K24,"")</f>
        <v/>
      </c>
      <c r="L28" s="297"/>
      <c r="M28" s="358" t="s">
        <v>62</v>
      </c>
      <c r="N28" s="265" t="s">
        <v>81</v>
      </c>
      <c r="O28" s="285"/>
      <c r="P28" s="56"/>
      <c r="Q28" s="262"/>
      <c r="R28" s="518" t="str">
        <f t="shared" si="0"/>
        <v>Low density residential</v>
      </c>
      <c r="S28" s="518"/>
      <c r="T28" s="518"/>
      <c r="U28" s="518"/>
      <c r="V28" s="518"/>
      <c r="W28" s="358" t="s">
        <v>62</v>
      </c>
      <c r="X28" s="262"/>
      <c r="Y28" s="315"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80"/>
      <c r="AA28" s="357"/>
      <c r="AB28" s="14"/>
      <c r="AC28" s="16"/>
      <c r="AD28" s="16"/>
      <c r="AE28" s="16"/>
      <c r="AF28" s="16"/>
      <c r="AG28" s="16"/>
      <c r="AH28" s="16"/>
      <c r="AI28" s="16"/>
      <c r="AJ28" s="16"/>
    </row>
    <row r="29" spans="2:41" ht="16" customHeight="1" x14ac:dyDescent="0.35">
      <c r="B29" s="52"/>
      <c r="C29" s="250"/>
      <c r="D29" s="250"/>
      <c r="E29" s="518" t="str">
        <f>'Stage 2'!F25</f>
        <v>Commercial / Industrial</v>
      </c>
      <c r="F29" s="518"/>
      <c r="G29" s="518"/>
      <c r="H29" s="518"/>
      <c r="I29" s="518"/>
      <c r="J29" s="56"/>
      <c r="K29" s="363" t="str">
        <f>IF('Stage 2'!$K25&gt;0,'Stage 2'!O25/'Stage 2'!$K25,"")</f>
        <v/>
      </c>
      <c r="L29" s="297"/>
      <c r="M29" s="358" t="s">
        <v>62</v>
      </c>
      <c r="N29" s="265" t="s">
        <v>81</v>
      </c>
      <c r="O29" s="285"/>
      <c r="P29" s="56"/>
      <c r="Q29" s="262"/>
      <c r="R29" s="518" t="str">
        <f t="shared" si="0"/>
        <v>Commercial / Industrial</v>
      </c>
      <c r="S29" s="518"/>
      <c r="T29" s="518"/>
      <c r="U29" s="518"/>
      <c r="V29" s="518"/>
      <c r="W29" s="358" t="s">
        <v>62</v>
      </c>
      <c r="X29" s="262"/>
      <c r="Y29" s="315"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80"/>
      <c r="AA29" s="357"/>
      <c r="AB29" s="14"/>
      <c r="AC29" s="16"/>
      <c r="AD29" s="16"/>
      <c r="AE29" s="16"/>
      <c r="AF29" s="16"/>
      <c r="AG29" s="16"/>
      <c r="AH29" s="16"/>
      <c r="AI29" s="16"/>
      <c r="AJ29" s="16"/>
    </row>
    <row r="30" spans="2:41" ht="16" customHeight="1" x14ac:dyDescent="0.35">
      <c r="B30" s="52"/>
      <c r="C30" s="250"/>
      <c r="D30" s="250"/>
      <c r="E30" s="518" t="str">
        <f>'Stage 2'!F26</f>
        <v>Urban open space</v>
      </c>
      <c r="F30" s="518"/>
      <c r="G30" s="518"/>
      <c r="H30" s="518"/>
      <c r="I30" s="518"/>
      <c r="J30" s="56"/>
      <c r="K30" s="363" t="str">
        <f>IF('Stage 2'!$K26&gt;0,'Stage 2'!O26/'Stage 2'!$K26,"")</f>
        <v/>
      </c>
      <c r="L30" s="297"/>
      <c r="M30" s="358" t="s">
        <v>62</v>
      </c>
      <c r="N30" s="265" t="s">
        <v>81</v>
      </c>
      <c r="O30" s="285"/>
      <c r="P30" s="56"/>
      <c r="Q30" s="262"/>
      <c r="R30" s="518" t="str">
        <f t="shared" si="0"/>
        <v>Urban open space</v>
      </c>
      <c r="S30" s="518"/>
      <c r="T30" s="518"/>
      <c r="U30" s="518"/>
      <c r="V30" s="518"/>
      <c r="W30" s="358" t="s">
        <v>62</v>
      </c>
      <c r="X30" s="262"/>
      <c r="Y30" s="315"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80"/>
      <c r="AA30" s="357"/>
      <c r="AB30" s="14"/>
      <c r="AC30" s="16"/>
      <c r="AD30" s="16"/>
      <c r="AE30" s="16"/>
      <c r="AF30" s="16"/>
      <c r="AG30" s="16"/>
      <c r="AH30" s="16"/>
      <c r="AI30" s="16"/>
      <c r="AJ30" s="16"/>
    </row>
    <row r="31" spans="2:41" ht="16" customHeight="1" x14ac:dyDescent="0.35">
      <c r="B31" s="52"/>
      <c r="C31" s="250"/>
      <c r="D31" s="250"/>
      <c r="E31" s="518" t="str">
        <f>'Stage 2'!F27</f>
        <v>Dairy</v>
      </c>
      <c r="F31" s="518"/>
      <c r="G31" s="518"/>
      <c r="H31" s="518"/>
      <c r="I31" s="518"/>
      <c r="J31" s="56"/>
      <c r="K31" s="363" t="str">
        <f>IF('Stage 2'!$K27&gt;0,'Stage 2'!O27/'Stage 2'!$K27,"")</f>
        <v/>
      </c>
      <c r="L31" s="364"/>
      <c r="M31" s="358" t="s">
        <v>62</v>
      </c>
      <c r="N31" s="265" t="s">
        <v>81</v>
      </c>
      <c r="O31" s="285"/>
      <c r="P31" s="56"/>
      <c r="Q31" s="262"/>
      <c r="R31" s="518" t="str">
        <f t="shared" si="0"/>
        <v>Dairy</v>
      </c>
      <c r="S31" s="518"/>
      <c r="T31" s="518"/>
      <c r="U31" s="518"/>
      <c r="V31" s="518"/>
      <c r="W31" s="358" t="s">
        <v>62</v>
      </c>
      <c r="X31" s="262"/>
      <c r="Y31" s="322"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82"/>
      <c r="AA31" s="357"/>
      <c r="AB31" s="14"/>
      <c r="AC31" s="16"/>
      <c r="AD31" s="16"/>
      <c r="AE31" s="16"/>
      <c r="AF31" s="16"/>
      <c r="AG31" s="16"/>
      <c r="AH31" s="16"/>
      <c r="AI31" s="16"/>
      <c r="AJ31" s="16"/>
    </row>
    <row r="32" spans="2:41" ht="16" customHeight="1" x14ac:dyDescent="0.35">
      <c r="B32" s="52"/>
      <c r="C32" s="250"/>
      <c r="D32" s="250"/>
      <c r="E32" s="518" t="str">
        <f>'Stage 2'!F28</f>
        <v>Lowland grazing</v>
      </c>
      <c r="F32" s="518"/>
      <c r="G32" s="518"/>
      <c r="H32" s="518"/>
      <c r="I32" s="518"/>
      <c r="J32" s="56"/>
      <c r="K32" s="363" t="str">
        <f>IF('Stage 2'!$K28&gt;0,'Stage 2'!O28/'Stage 2'!$K28,"")</f>
        <v/>
      </c>
      <c r="L32" s="365"/>
      <c r="M32" s="358" t="s">
        <v>62</v>
      </c>
      <c r="N32" s="265" t="s">
        <v>81</v>
      </c>
      <c r="O32" s="285"/>
      <c r="P32" s="56"/>
      <c r="Q32" s="262"/>
      <c r="R32" s="518" t="str">
        <f t="shared" si="0"/>
        <v>Lowland grazing</v>
      </c>
      <c r="S32" s="518"/>
      <c r="T32" s="518"/>
      <c r="U32" s="518"/>
      <c r="V32" s="518"/>
      <c r="W32" s="358" t="s">
        <v>62</v>
      </c>
      <c r="X32" s="262"/>
      <c r="Y32" s="322"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82"/>
      <c r="AA32" s="357"/>
      <c r="AB32" s="14"/>
      <c r="AC32" s="16"/>
      <c r="AD32" s="16"/>
      <c r="AE32" s="16"/>
      <c r="AF32" s="16"/>
      <c r="AG32" s="16"/>
      <c r="AH32" s="16"/>
      <c r="AI32" s="16"/>
      <c r="AJ32" s="16"/>
    </row>
    <row r="33" spans="2:36" ht="16" customHeight="1" x14ac:dyDescent="0.35">
      <c r="B33" s="52"/>
      <c r="C33" s="250"/>
      <c r="D33" s="250"/>
      <c r="E33" s="518" t="str">
        <f>'Stage 2'!F29</f>
        <v>Mixed</v>
      </c>
      <c r="F33" s="518"/>
      <c r="G33" s="518"/>
      <c r="H33" s="518"/>
      <c r="I33" s="518"/>
      <c r="J33" s="56"/>
      <c r="K33" s="363" t="str">
        <f>IF('Stage 2'!$K29&gt;0,'Stage 2'!O29/'Stage 2'!$K29,"")</f>
        <v/>
      </c>
      <c r="L33" s="365"/>
      <c r="M33" s="358" t="s">
        <v>62</v>
      </c>
      <c r="N33" s="265" t="s">
        <v>81</v>
      </c>
      <c r="O33" s="285"/>
      <c r="P33" s="56"/>
      <c r="Q33" s="262"/>
      <c r="R33" s="518" t="str">
        <f t="shared" si="0"/>
        <v>Mixed</v>
      </c>
      <c r="S33" s="518"/>
      <c r="T33" s="518"/>
      <c r="U33" s="518"/>
      <c r="V33" s="518"/>
      <c r="W33" s="358" t="s">
        <v>62</v>
      </c>
      <c r="X33" s="262"/>
      <c r="Y33" s="322"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82"/>
      <c r="AA33" s="357"/>
      <c r="AB33" s="14"/>
      <c r="AC33" s="16"/>
      <c r="AD33" s="16"/>
      <c r="AE33" s="16"/>
      <c r="AF33" s="16"/>
      <c r="AG33" s="16"/>
      <c r="AH33" s="16"/>
      <c r="AI33" s="16"/>
      <c r="AJ33" s="16"/>
    </row>
    <row r="34" spans="2:36" ht="16" customHeight="1" x14ac:dyDescent="0.35">
      <c r="B34" s="52"/>
      <c r="C34" s="250"/>
      <c r="D34" s="250"/>
      <c r="E34" s="518" t="str">
        <f>'Stage 2'!F30</f>
        <v>Poultry</v>
      </c>
      <c r="F34" s="518"/>
      <c r="G34" s="518"/>
      <c r="H34" s="518"/>
      <c r="I34" s="518"/>
      <c r="J34" s="56"/>
      <c r="K34" s="363" t="str">
        <f>IF('Stage 2'!$K30&gt;0,'Stage 2'!O30/'Stage 2'!$K30,"")</f>
        <v/>
      </c>
      <c r="L34" s="365"/>
      <c r="M34" s="358" t="s">
        <v>62</v>
      </c>
      <c r="N34" s="265" t="s">
        <v>81</v>
      </c>
      <c r="O34" s="285"/>
      <c r="P34" s="56"/>
      <c r="Q34" s="262"/>
      <c r="R34" s="518" t="str">
        <f t="shared" si="0"/>
        <v>Poultry</v>
      </c>
      <c r="S34" s="518"/>
      <c r="T34" s="518"/>
      <c r="U34" s="518"/>
      <c r="V34" s="518"/>
      <c r="W34" s="358" t="s">
        <v>62</v>
      </c>
      <c r="X34" s="262"/>
      <c r="Y34" s="322"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82"/>
      <c r="AA34" s="357"/>
      <c r="AB34" s="14"/>
      <c r="AC34" s="16"/>
      <c r="AD34" s="16"/>
      <c r="AE34" s="16"/>
      <c r="AF34" s="16"/>
      <c r="AG34" s="16"/>
      <c r="AH34" s="16"/>
      <c r="AI34" s="16"/>
      <c r="AJ34" s="16"/>
    </row>
    <row r="35" spans="2:36" ht="16" customHeight="1" x14ac:dyDescent="0.35">
      <c r="B35" s="52"/>
      <c r="C35" s="250"/>
      <c r="D35" s="250"/>
      <c r="E35" s="518" t="str">
        <f>'Stage 2'!F31</f>
        <v>Pigs</v>
      </c>
      <c r="F35" s="518"/>
      <c r="G35" s="518"/>
      <c r="H35" s="518"/>
      <c r="I35" s="518"/>
      <c r="J35" s="56"/>
      <c r="K35" s="363" t="str">
        <f>IF('Stage 2'!$K31&gt;0,'Stage 2'!O31/'Stage 2'!$K31,"")</f>
        <v/>
      </c>
      <c r="L35" s="365"/>
      <c r="M35" s="358" t="s">
        <v>62</v>
      </c>
      <c r="N35" s="265" t="s">
        <v>81</v>
      </c>
      <c r="O35" s="285"/>
      <c r="P35" s="56"/>
      <c r="Q35" s="262"/>
      <c r="R35" s="518" t="str">
        <f t="shared" si="0"/>
        <v>Pigs</v>
      </c>
      <c r="S35" s="518"/>
      <c r="T35" s="518"/>
      <c r="U35" s="518"/>
      <c r="V35" s="518"/>
      <c r="W35" s="358" t="s">
        <v>62</v>
      </c>
      <c r="X35" s="262"/>
      <c r="Y35" s="322"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82"/>
      <c r="AA35" s="357"/>
      <c r="AB35" s="14"/>
      <c r="AC35" s="16"/>
      <c r="AD35" s="16"/>
      <c r="AE35" s="16"/>
      <c r="AF35" s="16"/>
      <c r="AG35" s="16"/>
      <c r="AH35" s="16"/>
      <c r="AI35" s="16"/>
      <c r="AJ35" s="16"/>
    </row>
    <row r="36" spans="2:36" ht="16" customHeight="1" x14ac:dyDescent="0.35">
      <c r="B36" s="52"/>
      <c r="C36" s="250"/>
      <c r="D36" s="250"/>
      <c r="E36" s="518" t="str">
        <f>'Stage 2'!F32</f>
        <v>Horticulture</v>
      </c>
      <c r="F36" s="518"/>
      <c r="G36" s="518"/>
      <c r="H36" s="518"/>
      <c r="I36" s="518"/>
      <c r="J36" s="56"/>
      <c r="K36" s="363" t="str">
        <f>IF('Stage 2'!$K32&gt;0,'Stage 2'!O32/'Stage 2'!$K32,"")</f>
        <v/>
      </c>
      <c r="L36" s="365"/>
      <c r="M36" s="358" t="s">
        <v>62</v>
      </c>
      <c r="N36" s="265" t="s">
        <v>81</v>
      </c>
      <c r="O36" s="285"/>
      <c r="P36" s="56"/>
      <c r="Q36" s="262"/>
      <c r="R36" s="518" t="str">
        <f t="shared" si="0"/>
        <v>Horticulture</v>
      </c>
      <c r="S36" s="518"/>
      <c r="T36" s="518"/>
      <c r="U36" s="518"/>
      <c r="V36" s="518"/>
      <c r="W36" s="358" t="s">
        <v>62</v>
      </c>
      <c r="X36" s="262"/>
      <c r="Y36" s="322"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82"/>
      <c r="AA36" s="357"/>
      <c r="AB36" s="14"/>
      <c r="AC36" s="16"/>
      <c r="AD36" s="16"/>
      <c r="AE36" s="16"/>
      <c r="AF36" s="16"/>
      <c r="AG36" s="16"/>
      <c r="AH36" s="16"/>
      <c r="AI36" s="16"/>
      <c r="AJ36" s="16"/>
    </row>
    <row r="37" spans="2:36" ht="16" customHeight="1" x14ac:dyDescent="0.35">
      <c r="B37" s="52"/>
      <c r="C37" s="250"/>
      <c r="D37" s="250"/>
      <c r="E37" s="518" t="str">
        <f>'Stage 2'!F33</f>
        <v>Cereals</v>
      </c>
      <c r="F37" s="518"/>
      <c r="G37" s="518"/>
      <c r="H37" s="518"/>
      <c r="I37" s="518"/>
      <c r="J37" s="56"/>
      <c r="K37" s="363" t="str">
        <f>IF('Stage 2'!$K33&gt;0,'Stage 2'!O33/'Stage 2'!$K33,"")</f>
        <v/>
      </c>
      <c r="L37" s="365"/>
      <c r="M37" s="358" t="s">
        <v>62</v>
      </c>
      <c r="N37" s="265" t="s">
        <v>81</v>
      </c>
      <c r="O37" s="285"/>
      <c r="P37" s="56"/>
      <c r="Q37" s="262"/>
      <c r="R37" s="518" t="str">
        <f t="shared" si="0"/>
        <v>Cereals</v>
      </c>
      <c r="S37" s="518"/>
      <c r="T37" s="518"/>
      <c r="U37" s="518"/>
      <c r="V37" s="518"/>
      <c r="W37" s="358" t="s">
        <v>62</v>
      </c>
      <c r="X37" s="262"/>
      <c r="Y37" s="322"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82"/>
      <c r="AA37" s="357"/>
      <c r="AB37" s="14"/>
      <c r="AC37" s="16"/>
      <c r="AD37" s="16"/>
      <c r="AE37" s="16"/>
      <c r="AF37" s="16"/>
      <c r="AG37" s="16"/>
      <c r="AH37" s="16"/>
      <c r="AI37" s="16"/>
      <c r="AJ37" s="16"/>
    </row>
    <row r="38" spans="2:36" ht="16" customHeight="1" x14ac:dyDescent="0.35">
      <c r="B38" s="52"/>
      <c r="C38" s="250"/>
      <c r="D38" s="250"/>
      <c r="E38" s="518" t="str">
        <f>'Stage 2'!F34</f>
        <v>General arable</v>
      </c>
      <c r="F38" s="518"/>
      <c r="G38" s="518"/>
      <c r="H38" s="518"/>
      <c r="I38" s="518"/>
      <c r="J38" s="56"/>
      <c r="K38" s="363" t="str">
        <f>IF('Stage 2'!$K34&gt;0,'Stage 2'!O34/'Stage 2'!$K34,"")</f>
        <v/>
      </c>
      <c r="L38" s="365"/>
      <c r="M38" s="358" t="s">
        <v>62</v>
      </c>
      <c r="N38" s="265" t="s">
        <v>81</v>
      </c>
      <c r="O38" s="285"/>
      <c r="P38" s="56"/>
      <c r="Q38" s="262"/>
      <c r="R38" s="518" t="str">
        <f t="shared" si="0"/>
        <v>General arable</v>
      </c>
      <c r="S38" s="518"/>
      <c r="T38" s="518"/>
      <c r="U38" s="518"/>
      <c r="V38" s="518"/>
      <c r="W38" s="358" t="s">
        <v>62</v>
      </c>
      <c r="X38" s="262"/>
      <c r="Y38" s="322"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82"/>
      <c r="AA38" s="357"/>
      <c r="AB38" s="14"/>
      <c r="AC38" s="16"/>
      <c r="AD38" s="16"/>
      <c r="AE38" s="16"/>
      <c r="AF38" s="16"/>
      <c r="AG38" s="16"/>
      <c r="AH38" s="16"/>
      <c r="AI38" s="16"/>
      <c r="AJ38" s="16"/>
    </row>
    <row r="39" spans="2:36" ht="16" customHeight="1" x14ac:dyDescent="0.35">
      <c r="B39" s="52"/>
      <c r="C39" s="250"/>
      <c r="D39" s="250"/>
      <c r="E39" s="518" t="str">
        <f>'Stage 2'!F35</f>
        <v>Allotments and city farms</v>
      </c>
      <c r="F39" s="518"/>
      <c r="G39" s="518"/>
      <c r="H39" s="518"/>
      <c r="I39" s="518"/>
      <c r="J39" s="56"/>
      <c r="K39" s="323" t="str">
        <f>IF('Stage 2'!K35&gt;0,'Data Tables'!O3,"")</f>
        <v/>
      </c>
      <c r="L39" s="297"/>
      <c r="M39" s="358" t="s">
        <v>62</v>
      </c>
      <c r="N39" s="265" t="s">
        <v>81</v>
      </c>
      <c r="O39" s="285"/>
      <c r="P39" s="56"/>
      <c r="Q39" s="262"/>
      <c r="R39" s="518" t="str">
        <f t="shared" si="0"/>
        <v>Allotments and city farms</v>
      </c>
      <c r="S39" s="518"/>
      <c r="T39" s="518"/>
      <c r="U39" s="518"/>
      <c r="V39" s="518"/>
      <c r="W39" s="358" t="s">
        <v>62</v>
      </c>
      <c r="X39" s="262"/>
      <c r="Y39" s="322" t="str">
        <f>IF($W$15="Yes",(IF(W39="Yes",'Data Tables'!O3,0)),"")</f>
        <v/>
      </c>
      <c r="Z39" s="382"/>
      <c r="AA39" s="357"/>
      <c r="AB39" s="14"/>
      <c r="AC39" s="16"/>
      <c r="AD39" s="16"/>
      <c r="AE39" s="16"/>
      <c r="AF39" s="16"/>
      <c r="AG39" s="16"/>
      <c r="AH39" s="16"/>
      <c r="AI39" s="16"/>
      <c r="AJ39" s="16"/>
    </row>
    <row r="40" spans="2:36" ht="16" customHeight="1" x14ac:dyDescent="0.35">
      <c r="B40" s="52"/>
      <c r="C40" s="250"/>
      <c r="D40" s="250"/>
      <c r="E40" s="518" t="str">
        <f>'Stage 2'!F36</f>
        <v>Woodland (e.g. conifer, mixed, broad-leaved)</v>
      </c>
      <c r="F40" s="518"/>
      <c r="G40" s="518"/>
      <c r="H40" s="518"/>
      <c r="I40" s="518"/>
      <c r="J40" s="56"/>
      <c r="K40" s="323" t="str">
        <f>IF('Stage 2'!K36&gt;0,'Data Tables'!O5,"")</f>
        <v/>
      </c>
      <c r="L40" s="297"/>
      <c r="M40" s="358" t="s">
        <v>62</v>
      </c>
      <c r="N40" s="265" t="s">
        <v>81</v>
      </c>
      <c r="O40" s="285"/>
      <c r="P40" s="56"/>
      <c r="Q40" s="262"/>
      <c r="R40" s="518" t="str">
        <f t="shared" si="0"/>
        <v>Woodland (e.g. conifer, mixed, broad-leaved)</v>
      </c>
      <c r="S40" s="518"/>
      <c r="T40" s="518"/>
      <c r="U40" s="518"/>
      <c r="V40" s="518"/>
      <c r="W40" s="358" t="s">
        <v>62</v>
      </c>
      <c r="X40" s="262"/>
      <c r="Y40" s="322" t="str">
        <f>IF($W$15="Yes",(IF(W40="Yes",'Data Tables'!O5,0)),"")</f>
        <v/>
      </c>
      <c r="Z40" s="382"/>
      <c r="AA40" s="357"/>
      <c r="AB40" s="14"/>
      <c r="AC40" s="16"/>
      <c r="AD40" s="16"/>
      <c r="AE40" s="16"/>
      <c r="AF40" s="16"/>
      <c r="AG40" s="16"/>
      <c r="AH40" s="16"/>
      <c r="AI40" s="16"/>
      <c r="AJ40" s="16"/>
    </row>
    <row r="41" spans="2:36" ht="16" customHeight="1" x14ac:dyDescent="0.35">
      <c r="B41" s="52"/>
      <c r="C41" s="250"/>
      <c r="D41" s="250"/>
      <c r="E41" s="518" t="str">
        <f>'Stage 2'!F37</f>
        <v>Greenspace</v>
      </c>
      <c r="F41" s="518"/>
      <c r="G41" s="518"/>
      <c r="H41" s="518"/>
      <c r="I41" s="518"/>
      <c r="J41" s="56"/>
      <c r="K41" s="323" t="str">
        <f>IF('Stage 2'!K37&gt;0,'Data Tables'!O4,"")</f>
        <v/>
      </c>
      <c r="L41" s="297"/>
      <c r="M41" s="358" t="s">
        <v>62</v>
      </c>
      <c r="N41" s="265" t="s">
        <v>81</v>
      </c>
      <c r="O41" s="285"/>
      <c r="P41" s="56"/>
      <c r="Q41" s="262"/>
      <c r="R41" s="518" t="str">
        <f t="shared" si="0"/>
        <v>Greenspace</v>
      </c>
      <c r="S41" s="518"/>
      <c r="T41" s="518"/>
      <c r="U41" s="518"/>
      <c r="V41" s="518"/>
      <c r="W41" s="358" t="s">
        <v>62</v>
      </c>
      <c r="X41" s="262"/>
      <c r="Y41" s="322" t="str">
        <f>IF($W$15="Yes",(IF(W41="Yes",'Data Tables'!O4,0)),"")</f>
        <v/>
      </c>
      <c r="Z41" s="382"/>
      <c r="AA41" s="357"/>
      <c r="AB41" s="14"/>
      <c r="AC41" s="16"/>
      <c r="AD41" s="16"/>
      <c r="AE41" s="16"/>
      <c r="AF41" s="16"/>
      <c r="AG41" s="16"/>
      <c r="AH41" s="16"/>
      <c r="AI41" s="16"/>
      <c r="AJ41" s="16"/>
    </row>
    <row r="42" spans="2:36" ht="16" customHeight="1" x14ac:dyDescent="0.35">
      <c r="B42" s="52"/>
      <c r="C42" s="250"/>
      <c r="D42" s="250"/>
      <c r="E42" s="518" t="str">
        <f>'Stage 2'!F38</f>
        <v>Shrub / heathland / bracken / bog</v>
      </c>
      <c r="F42" s="518"/>
      <c r="G42" s="518"/>
      <c r="H42" s="518"/>
      <c r="I42" s="518"/>
      <c r="J42" s="56"/>
      <c r="K42" s="323" t="str">
        <f>IF('Stage 2'!K38&gt;0,'Data Tables'!O6,"")</f>
        <v/>
      </c>
      <c r="L42" s="297"/>
      <c r="M42" s="358" t="s">
        <v>62</v>
      </c>
      <c r="N42" s="265" t="s">
        <v>81</v>
      </c>
      <c r="O42" s="285"/>
      <c r="P42" s="56"/>
      <c r="Q42" s="262"/>
      <c r="R42" s="518" t="str">
        <f t="shared" si="0"/>
        <v>Shrub / heathland / bracken / bog</v>
      </c>
      <c r="S42" s="518"/>
      <c r="T42" s="518"/>
      <c r="U42" s="518"/>
      <c r="V42" s="518"/>
      <c r="W42" s="358" t="s">
        <v>62</v>
      </c>
      <c r="X42" s="262"/>
      <c r="Y42" s="322" t="str">
        <f>IF($W$15="Yes",(IF(W42="Yes",'Data Tables'!O6,0)),"")</f>
        <v/>
      </c>
      <c r="Z42" s="382"/>
      <c r="AA42" s="357"/>
      <c r="AB42" s="14"/>
      <c r="AC42" s="16"/>
      <c r="AD42" s="16"/>
      <c r="AE42" s="16"/>
      <c r="AF42" s="16"/>
      <c r="AG42" s="16"/>
      <c r="AH42" s="16"/>
      <c r="AI42" s="16"/>
      <c r="AJ42" s="16"/>
    </row>
    <row r="43" spans="2:36" ht="15" customHeight="1" x14ac:dyDescent="0.35">
      <c r="B43" s="52"/>
      <c r="C43" s="250"/>
      <c r="D43" s="250"/>
      <c r="E43" s="518" t="str">
        <f>'Stage 2'!F39</f>
        <v>Water</v>
      </c>
      <c r="F43" s="518"/>
      <c r="G43" s="518"/>
      <c r="H43" s="518"/>
      <c r="I43" s="518"/>
      <c r="J43" s="56"/>
      <c r="K43" s="323" t="str">
        <f>IF('Stage 2'!K39&gt;0,'Data Tables'!O7,"")</f>
        <v/>
      </c>
      <c r="L43" s="297"/>
      <c r="M43" s="358" t="s">
        <v>62</v>
      </c>
      <c r="N43" s="265" t="s">
        <v>81</v>
      </c>
      <c r="O43" s="285"/>
      <c r="P43" s="56"/>
      <c r="Q43" s="262"/>
      <c r="R43" s="518" t="str">
        <f t="shared" si="0"/>
        <v>Water</v>
      </c>
      <c r="S43" s="518"/>
      <c r="T43" s="518"/>
      <c r="U43" s="518"/>
      <c r="V43" s="518"/>
      <c r="W43" s="358" t="s">
        <v>62</v>
      </c>
      <c r="X43" s="262"/>
      <c r="Y43" s="322" t="str">
        <f>IF($W$15="Yes",(IF(W43="Yes",'Data Tables'!O7,0)),"")</f>
        <v/>
      </c>
      <c r="Z43" s="382"/>
      <c r="AA43" s="357"/>
      <c r="AB43" s="14"/>
      <c r="AC43" s="16"/>
      <c r="AD43" s="16"/>
      <c r="AE43" s="16"/>
      <c r="AF43" s="16"/>
      <c r="AG43" s="16"/>
      <c r="AH43" s="16"/>
      <c r="AI43" s="16"/>
      <c r="AJ43" s="16"/>
    </row>
    <row r="44" spans="2:36" ht="16" customHeight="1" x14ac:dyDescent="0.35">
      <c r="B44" s="52"/>
      <c r="C44" s="250"/>
      <c r="D44" s="250"/>
      <c r="E44" s="56"/>
      <c r="F44" s="44"/>
      <c r="G44" s="56"/>
      <c r="H44" s="56"/>
      <c r="I44" s="56"/>
      <c r="J44" s="56"/>
      <c r="K44" s="297"/>
      <c r="L44" s="297"/>
      <c r="M44" s="262"/>
      <c r="N44" s="272"/>
      <c r="O44" s="285"/>
      <c r="P44" s="56"/>
      <c r="Q44" s="262"/>
      <c r="R44" s="262"/>
      <c r="S44" s="262"/>
      <c r="T44" s="262"/>
      <c r="U44" s="262"/>
      <c r="V44" s="262"/>
      <c r="W44" s="287" t="s">
        <v>436</v>
      </c>
      <c r="X44" s="262"/>
      <c r="Y44" s="56"/>
      <c r="Z44" s="262"/>
      <c r="AA44" s="357"/>
      <c r="AB44" s="14"/>
      <c r="AC44" s="16"/>
      <c r="AD44" s="16"/>
      <c r="AE44" s="16"/>
      <c r="AF44" s="16"/>
      <c r="AG44" s="16"/>
      <c r="AH44" s="16"/>
      <c r="AI44" s="16"/>
      <c r="AJ44" s="16"/>
    </row>
    <row r="45" spans="2:36" ht="16" customHeight="1" x14ac:dyDescent="0.35">
      <c r="B45" s="52"/>
      <c r="C45" s="250"/>
      <c r="D45" s="250"/>
      <c r="E45" s="514" t="s">
        <v>89</v>
      </c>
      <c r="F45" s="514"/>
      <c r="G45" s="514"/>
      <c r="H45" s="514"/>
      <c r="I45" s="514"/>
      <c r="J45" s="56"/>
      <c r="K45" s="304">
        <f>IF(K15="Yes",(IF(M21="Yes",K21,0)+IF(M26="Yes",K26,0)+IF(M27="Yes",K27,0)+IF(M28="Yes",K28,0)+IF(M29="Yes",K29,0)+IF(M30="Yes",K30,0)+IF(M31="Yes",K31,0)+IF(M32="Yes",K32,0)+IF(M33="Yes",K33,0)+IF(M34="Yes",K34,0)+IF(M35="Yes",K35,0)+IF(M36="Yes",K36,0)+IF(M37="Yes",K37,0)+IF(M38="Yes",K38,0)+IF(M39="Yes",K39,0)+IF(M40="Yes",K40,0)+IF(M41="Yes",K41,0)+IF(M42="Yes",K42,0)+IF(M43="Yes",K43,0))/COUNTIF(M21:M43,"Yes"),0)</f>
        <v>0</v>
      </c>
      <c r="L45" s="297"/>
      <c r="M45" s="262"/>
      <c r="N45" s="272"/>
      <c r="O45" s="285"/>
      <c r="P45" s="56"/>
      <c r="Q45" s="262"/>
      <c r="R45" s="514" t="s">
        <v>90</v>
      </c>
      <c r="S45" s="514"/>
      <c r="T45" s="514"/>
      <c r="U45" s="514"/>
      <c r="V45" s="514"/>
      <c r="W45" s="324">
        <f>IF(W15="Yes",SUM(Y26:Y43)/(COUNTIF(W26:W43,"Yes")),0)</f>
        <v>0</v>
      </c>
      <c r="X45" s="367"/>
      <c r="Y45" s="249"/>
      <c r="Z45" s="249"/>
      <c r="AA45" s="357"/>
      <c r="AB45" s="14"/>
      <c r="AC45" s="16"/>
      <c r="AD45" s="16"/>
      <c r="AE45" s="16"/>
      <c r="AF45" s="16"/>
      <c r="AG45" s="16"/>
      <c r="AH45" s="16"/>
      <c r="AI45" s="16"/>
      <c r="AJ45" s="16"/>
    </row>
    <row r="46" spans="2:36" ht="16" customHeight="1" x14ac:dyDescent="0.35">
      <c r="B46" s="52"/>
      <c r="C46" s="250"/>
      <c r="D46" s="250"/>
      <c r="E46" s="313"/>
      <c r="F46" s="313"/>
      <c r="G46" s="313"/>
      <c r="H46" s="313"/>
      <c r="I46" s="313"/>
      <c r="J46" s="56"/>
      <c r="K46" s="297"/>
      <c r="L46" s="297"/>
      <c r="M46" s="262"/>
      <c r="N46" s="272"/>
      <c r="O46" s="56"/>
      <c r="P46" s="56"/>
      <c r="Q46" s="262"/>
      <c r="R46" s="313"/>
      <c r="S46" s="313"/>
      <c r="T46" s="313"/>
      <c r="U46" s="313"/>
      <c r="V46" s="313"/>
      <c r="W46" s="366"/>
      <c r="X46" s="262"/>
      <c r="Y46" s="367"/>
      <c r="Z46" s="367"/>
      <c r="AA46" s="357"/>
      <c r="AB46" s="14"/>
      <c r="AC46" s="16"/>
      <c r="AD46" s="16"/>
      <c r="AE46" s="16"/>
      <c r="AF46" s="16"/>
      <c r="AG46" s="16"/>
      <c r="AH46" s="16"/>
      <c r="AI46" s="16"/>
      <c r="AJ46" s="16"/>
    </row>
    <row r="47" spans="2:36" ht="16" customHeight="1" x14ac:dyDescent="0.35">
      <c r="B47" s="52"/>
      <c r="C47" s="250"/>
      <c r="D47" s="250"/>
      <c r="E47" s="56"/>
      <c r="F47" s="44"/>
      <c r="G47" s="56"/>
      <c r="H47" s="56"/>
      <c r="I47" s="56"/>
      <c r="J47" s="56"/>
      <c r="K47" s="297"/>
      <c r="L47" s="297"/>
      <c r="M47" s="262"/>
      <c r="N47" s="272"/>
      <c r="O47" s="161" t="s">
        <v>436</v>
      </c>
      <c r="P47" s="56"/>
      <c r="Q47" s="56"/>
      <c r="R47" s="56"/>
      <c r="S47" s="56"/>
      <c r="T47" s="262"/>
      <c r="U47" s="262"/>
      <c r="V47" s="262"/>
      <c r="W47" s="262"/>
      <c r="X47" s="262"/>
      <c r="Y47" s="262"/>
      <c r="Z47" s="262"/>
      <c r="AA47" s="357"/>
      <c r="AB47" s="14"/>
      <c r="AC47" s="16"/>
      <c r="AD47" s="16"/>
      <c r="AE47" s="16"/>
      <c r="AF47" s="16"/>
      <c r="AG47" s="16"/>
      <c r="AH47" s="16"/>
      <c r="AI47" s="16"/>
      <c r="AJ47" s="16"/>
    </row>
    <row r="48" spans="2:36" ht="16" customHeight="1" x14ac:dyDescent="0.35">
      <c r="B48" s="52"/>
      <c r="C48" s="250"/>
      <c r="D48" s="250"/>
      <c r="E48" s="56"/>
      <c r="F48" s="44"/>
      <c r="G48" s="56"/>
      <c r="H48" s="56"/>
      <c r="I48" s="514" t="s">
        <v>92</v>
      </c>
      <c r="J48" s="514"/>
      <c r="K48" s="514"/>
      <c r="L48" s="514"/>
      <c r="M48" s="514"/>
      <c r="N48" s="514"/>
      <c r="O48" s="304" t="str">
        <f>IF(K45+W45&gt;0,K45+W45,"")</f>
        <v/>
      </c>
      <c r="P48" s="367"/>
      <c r="Q48" s="367"/>
      <c r="R48" s="56"/>
      <c r="S48" s="56"/>
      <c r="T48" s="262"/>
      <c r="U48" s="262"/>
      <c r="V48" s="262"/>
      <c r="W48" s="262"/>
      <c r="X48" s="262"/>
      <c r="Y48" s="262"/>
      <c r="Z48" s="262"/>
      <c r="AA48" s="357"/>
      <c r="AB48" s="14"/>
      <c r="AC48" s="16"/>
      <c r="AD48" s="16"/>
      <c r="AE48" s="16"/>
      <c r="AF48" s="16"/>
      <c r="AG48" s="16"/>
      <c r="AH48" s="16"/>
      <c r="AI48" s="16"/>
      <c r="AJ48" s="16"/>
    </row>
    <row r="49" spans="2:36" ht="16" customHeight="1" thickBot="1" x14ac:dyDescent="0.4">
      <c r="B49" s="52"/>
      <c r="C49" s="250"/>
      <c r="D49" s="368"/>
      <c r="E49" s="274"/>
      <c r="F49" s="274"/>
      <c r="G49" s="274"/>
      <c r="H49" s="274"/>
      <c r="I49" s="274"/>
      <c r="J49" s="274"/>
      <c r="K49" s="274"/>
      <c r="L49" s="274"/>
      <c r="M49" s="274"/>
      <c r="N49" s="274"/>
      <c r="O49" s="274"/>
      <c r="P49" s="274"/>
      <c r="Q49" s="56"/>
      <c r="R49" s="56"/>
      <c r="S49" s="56"/>
      <c r="T49" s="369"/>
      <c r="U49" s="369"/>
      <c r="V49" s="369"/>
      <c r="W49" s="369"/>
      <c r="X49" s="369"/>
      <c r="Y49" s="369"/>
      <c r="Z49" s="369"/>
      <c r="AA49" s="370"/>
      <c r="AB49" s="14"/>
      <c r="AC49" s="16"/>
      <c r="AD49" s="16"/>
      <c r="AE49" s="16"/>
      <c r="AF49" s="16"/>
      <c r="AG49" s="16"/>
      <c r="AH49" s="16"/>
      <c r="AI49" s="16"/>
      <c r="AJ49" s="16"/>
    </row>
    <row r="50" spans="2:36" ht="11.5" customHeight="1" x14ac:dyDescent="0.35">
      <c r="B50" s="52"/>
      <c r="C50" s="250"/>
      <c r="D50" s="56"/>
      <c r="E50" s="56"/>
      <c r="F50" s="56"/>
      <c r="G50" s="56"/>
      <c r="H50" s="56"/>
      <c r="I50" s="56"/>
      <c r="J50" s="56"/>
      <c r="K50" s="56"/>
      <c r="L50" s="56"/>
      <c r="M50" s="56"/>
      <c r="N50" s="56"/>
      <c r="O50" s="56"/>
      <c r="P50" s="56"/>
      <c r="Q50" s="56"/>
      <c r="R50" s="56"/>
      <c r="S50" s="371"/>
      <c r="T50" s="372"/>
      <c r="U50" s="372"/>
      <c r="V50" s="372"/>
      <c r="W50" s="372"/>
      <c r="X50" s="372"/>
      <c r="Y50" s="372"/>
      <c r="Z50" s="372"/>
      <c r="AA50" s="372"/>
      <c r="AB50" s="16"/>
    </row>
    <row r="51" spans="2:36" ht="15.5" hidden="1" x14ac:dyDescent="0.35">
      <c r="B51" s="52"/>
      <c r="C51" s="250"/>
      <c r="D51" s="56"/>
      <c r="E51" s="54" t="s">
        <v>12</v>
      </c>
      <c r="F51" s="447" t="s">
        <v>31</v>
      </c>
      <c r="G51" s="447"/>
      <c r="H51" s="447"/>
      <c r="I51" s="447"/>
      <c r="J51" s="447"/>
      <c r="K51" s="161" t="s">
        <v>2</v>
      </c>
      <c r="L51" s="161"/>
      <c r="M51" s="161" t="s">
        <v>3</v>
      </c>
      <c r="N51" s="56"/>
      <c r="O51" s="56"/>
      <c r="P51" s="56"/>
      <c r="Q51" s="56"/>
      <c r="R51" s="56"/>
      <c r="S51" s="371"/>
      <c r="T51" s="372"/>
      <c r="U51" s="372"/>
      <c r="V51" s="372"/>
      <c r="W51" s="372"/>
      <c r="X51" s="372"/>
      <c r="Y51" s="372"/>
      <c r="Z51" s="372"/>
      <c r="AA51" s="372"/>
      <c r="AB51" s="16"/>
    </row>
    <row r="52" spans="2:36" ht="13" customHeight="1" x14ac:dyDescent="0.35">
      <c r="B52" s="52"/>
      <c r="C52" s="250"/>
      <c r="D52" s="56"/>
      <c r="E52" s="56"/>
      <c r="F52" s="56"/>
      <c r="G52" s="56"/>
      <c r="H52" s="56"/>
      <c r="I52" s="56"/>
      <c r="J52" s="56"/>
      <c r="K52" s="56"/>
      <c r="L52" s="56"/>
      <c r="M52" s="56"/>
      <c r="N52" s="56"/>
      <c r="O52" s="56"/>
      <c r="P52" s="56"/>
      <c r="Q52" s="56"/>
      <c r="R52" s="56"/>
      <c r="S52" s="371"/>
      <c r="T52" s="372"/>
      <c r="U52" s="372"/>
      <c r="V52" s="372"/>
      <c r="W52" s="372"/>
      <c r="X52" s="372"/>
      <c r="Y52" s="372"/>
      <c r="Z52" s="372"/>
      <c r="AA52" s="372"/>
      <c r="AB52" s="16"/>
    </row>
    <row r="53" spans="2:36" ht="13" customHeight="1" x14ac:dyDescent="0.35">
      <c r="B53" s="52"/>
      <c r="C53" s="250"/>
      <c r="D53" s="56"/>
      <c r="E53" s="501" t="s">
        <v>32</v>
      </c>
      <c r="F53" s="501"/>
      <c r="G53" s="501"/>
      <c r="H53" s="501"/>
      <c r="I53" s="501"/>
      <c r="J53" s="56"/>
      <c r="K53" s="373" t="e">
        <f>(1/(((O48-(-IF(K61&gt;0,K61,8))))/$K$10))</f>
        <v>#VALUE!</v>
      </c>
      <c r="L53" s="374"/>
      <c r="M53" s="265" t="s">
        <v>17</v>
      </c>
      <c r="N53" s="56"/>
      <c r="O53" s="56"/>
      <c r="P53" s="56"/>
      <c r="Q53" s="56"/>
      <c r="R53" s="56"/>
      <c r="S53" s="371"/>
      <c r="T53" s="372"/>
      <c r="U53" s="372"/>
      <c r="V53" s="372"/>
      <c r="W53" s="372"/>
      <c r="X53" s="372"/>
      <c r="Y53" s="372"/>
      <c r="Z53" s="372"/>
      <c r="AA53" s="372"/>
      <c r="AB53" s="16"/>
    </row>
    <row r="54" spans="2:36" ht="14.5" customHeight="1" x14ac:dyDescent="0.35">
      <c r="B54" s="52"/>
      <c r="C54" s="250"/>
      <c r="D54" s="56"/>
      <c r="E54" s="501" t="s">
        <v>489</v>
      </c>
      <c r="F54" s="501"/>
      <c r="G54" s="501"/>
      <c r="H54" s="501"/>
      <c r="I54" s="501"/>
      <c r="J54" s="56"/>
      <c r="K54" s="373"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74"/>
      <c r="M54" s="265" t="s">
        <v>17</v>
      </c>
      <c r="N54" s="56"/>
      <c r="O54" s="56"/>
      <c r="P54" s="56"/>
      <c r="Q54" s="56"/>
      <c r="R54" s="56"/>
      <c r="S54" s="371"/>
      <c r="T54" s="372"/>
      <c r="U54" s="372"/>
      <c r="V54" s="372"/>
      <c r="W54" s="372"/>
      <c r="X54" s="372"/>
      <c r="Y54" s="372"/>
      <c r="Z54" s="372"/>
      <c r="AA54" s="372"/>
      <c r="AB54" s="16"/>
    </row>
    <row r="55" spans="2:36" ht="14.5" customHeight="1" x14ac:dyDescent="0.35">
      <c r="B55" s="52"/>
      <c r="C55" s="250"/>
      <c r="D55" s="56"/>
      <c r="E55" s="501" t="s">
        <v>400</v>
      </c>
      <c r="F55" s="501"/>
      <c r="G55" s="501"/>
      <c r="H55" s="501"/>
      <c r="I55" s="501"/>
      <c r="J55" s="161"/>
      <c r="K55" s="373" t="e">
        <f>(1/(($O$48-'Data Tables'!O7)/$K$10))</f>
        <v>#VALUE!</v>
      </c>
      <c r="L55" s="374"/>
      <c r="M55" s="265" t="s">
        <v>17</v>
      </c>
      <c r="N55" s="265"/>
      <c r="O55" s="292"/>
      <c r="P55" s="292"/>
      <c r="Q55" s="265"/>
      <c r="R55" s="56"/>
      <c r="S55" s="371"/>
      <c r="T55" s="372"/>
      <c r="U55" s="372"/>
      <c r="V55" s="372"/>
      <c r="W55" s="372"/>
      <c r="X55" s="372"/>
      <c r="Y55" s="372"/>
      <c r="Z55" s="372"/>
      <c r="AA55" s="372"/>
      <c r="AB55" s="16"/>
    </row>
    <row r="56" spans="2:36" ht="14.5" customHeight="1" x14ac:dyDescent="0.35">
      <c r="B56" s="52"/>
      <c r="C56" s="250"/>
      <c r="D56" s="56"/>
      <c r="E56" s="501" t="s">
        <v>34</v>
      </c>
      <c r="F56" s="501"/>
      <c r="G56" s="501"/>
      <c r="H56" s="501"/>
      <c r="I56" s="501"/>
      <c r="J56" s="161"/>
      <c r="K56" s="373" t="e">
        <f>(1/(($O$48-'Data Tables'!O5)/$K$10))</f>
        <v>#VALUE!</v>
      </c>
      <c r="L56" s="374"/>
      <c r="M56" s="265" t="s">
        <v>17</v>
      </c>
      <c r="N56" s="265"/>
      <c r="O56" s="292"/>
      <c r="P56" s="292"/>
      <c r="Q56" s="265"/>
      <c r="R56" s="56"/>
      <c r="S56" s="371"/>
      <c r="T56" s="372"/>
      <c r="U56" s="372"/>
      <c r="V56" s="372"/>
      <c r="W56" s="372"/>
      <c r="X56" s="372"/>
      <c r="Y56" s="372"/>
      <c r="Z56" s="372"/>
      <c r="AA56" s="372"/>
      <c r="AB56" s="16"/>
    </row>
    <row r="57" spans="2:36" ht="14.5" customHeight="1" x14ac:dyDescent="0.35">
      <c r="B57" s="52"/>
      <c r="C57" s="250"/>
      <c r="D57" s="56"/>
      <c r="E57" s="501" t="s">
        <v>245</v>
      </c>
      <c r="F57" s="501"/>
      <c r="G57" s="501"/>
      <c r="H57" s="501"/>
      <c r="I57" s="501"/>
      <c r="J57" s="161"/>
      <c r="K57" s="373" t="e">
        <f>(1/(($O$48-'Data Tables'!O6)/$K$10))</f>
        <v>#VALUE!</v>
      </c>
      <c r="L57" s="374"/>
      <c r="M57" s="265" t="s">
        <v>17</v>
      </c>
      <c r="N57" s="265"/>
      <c r="O57" s="292"/>
      <c r="P57" s="292"/>
      <c r="Q57" s="265"/>
      <c r="R57" s="56"/>
      <c r="S57" s="371"/>
      <c r="T57" s="372"/>
      <c r="U57" s="372"/>
      <c r="V57" s="372"/>
      <c r="W57" s="372"/>
      <c r="X57" s="372"/>
      <c r="Y57" s="372"/>
      <c r="Z57" s="372"/>
      <c r="AA57" s="372"/>
      <c r="AB57" s="16"/>
    </row>
    <row r="58" spans="2:36" ht="14.5" customHeight="1" x14ac:dyDescent="0.35">
      <c r="B58" s="52"/>
      <c r="C58" s="250"/>
      <c r="D58" s="56"/>
      <c r="E58" s="501" t="s">
        <v>439</v>
      </c>
      <c r="F58" s="501"/>
      <c r="G58" s="501"/>
      <c r="H58" s="501"/>
      <c r="I58" s="501"/>
      <c r="J58" s="161"/>
      <c r="K58" s="373" t="e">
        <f>(1/(($O$48-'Data Tables'!O4)/$K$10))</f>
        <v>#VALUE!</v>
      </c>
      <c r="L58" s="374"/>
      <c r="M58" s="265" t="s">
        <v>17</v>
      </c>
      <c r="N58" s="265"/>
      <c r="O58" s="292"/>
      <c r="P58" s="292"/>
      <c r="Q58" s="265"/>
      <c r="R58" s="56"/>
      <c r="S58" s="371"/>
      <c r="T58" s="372"/>
      <c r="U58" s="372"/>
      <c r="V58" s="372"/>
      <c r="W58" s="372"/>
      <c r="X58" s="372"/>
      <c r="Y58" s="372"/>
      <c r="Z58" s="372"/>
      <c r="AA58" s="372"/>
      <c r="AB58" s="16"/>
    </row>
    <row r="59" spans="2:36" ht="7.5" customHeight="1" x14ac:dyDescent="0.35">
      <c r="B59" s="52"/>
      <c r="C59" s="250"/>
      <c r="D59" s="56"/>
      <c r="E59" s="56"/>
      <c r="F59" s="56"/>
      <c r="G59" s="56"/>
      <c r="H59" s="56"/>
      <c r="I59" s="56"/>
      <c r="J59" s="56"/>
      <c r="K59" s="56"/>
      <c r="L59" s="56"/>
      <c r="M59" s="56"/>
      <c r="N59" s="56"/>
      <c r="O59" s="56"/>
      <c r="P59" s="56"/>
      <c r="Q59" s="56"/>
      <c r="R59" s="56"/>
      <c r="S59" s="371"/>
      <c r="T59" s="372"/>
      <c r="U59" s="372"/>
      <c r="V59" s="372"/>
      <c r="W59" s="372"/>
      <c r="X59" s="372"/>
      <c r="Y59" s="372"/>
      <c r="Z59" s="372"/>
      <c r="AA59" s="372"/>
      <c r="AB59" s="16"/>
    </row>
    <row r="60" spans="2:36" ht="16" customHeight="1" x14ac:dyDescent="0.35">
      <c r="B60" s="52"/>
      <c r="C60" s="250"/>
      <c r="D60" s="56"/>
      <c r="E60" s="56"/>
      <c r="F60" s="447" t="s">
        <v>248</v>
      </c>
      <c r="G60" s="447"/>
      <c r="H60" s="447"/>
      <c r="I60" s="447"/>
      <c r="J60" s="447"/>
      <c r="K60" s="161" t="s">
        <v>436</v>
      </c>
      <c r="L60" s="161"/>
      <c r="M60" s="56"/>
      <c r="N60" s="56"/>
      <c r="O60" s="56"/>
      <c r="P60" s="56"/>
      <c r="Q60" s="56"/>
      <c r="R60" s="56"/>
      <c r="S60" s="371"/>
      <c r="T60" s="372"/>
      <c r="U60" s="372"/>
      <c r="V60" s="372"/>
      <c r="W60" s="372"/>
      <c r="X60" s="372"/>
      <c r="Y60" s="372"/>
      <c r="Z60" s="372"/>
      <c r="AA60" s="372"/>
      <c r="AB60" s="16"/>
    </row>
    <row r="61" spans="2:36" ht="18" customHeight="1" x14ac:dyDescent="0.35">
      <c r="B61" s="52"/>
      <c r="C61" s="250"/>
      <c r="D61" s="56"/>
      <c r="E61" s="56"/>
      <c r="F61" s="56"/>
      <c r="G61" s="447" t="s">
        <v>236</v>
      </c>
      <c r="H61" s="447"/>
      <c r="I61" s="447"/>
      <c r="J61" s="447"/>
      <c r="K61" s="263"/>
      <c r="L61" s="264"/>
      <c r="M61" s="265" t="s">
        <v>81</v>
      </c>
      <c r="N61" s="302"/>
      <c r="O61" s="56"/>
      <c r="P61" s="56"/>
      <c r="Q61" s="56"/>
      <c r="R61" s="56"/>
      <c r="S61" s="371"/>
      <c r="T61" s="372"/>
      <c r="U61" s="372"/>
      <c r="V61" s="372"/>
      <c r="W61" s="372"/>
      <c r="X61" s="372"/>
      <c r="Y61" s="372"/>
      <c r="Z61" s="372"/>
      <c r="AA61" s="372"/>
      <c r="AB61" s="16"/>
    </row>
    <row r="62" spans="2:36" ht="55" customHeight="1" x14ac:dyDescent="0.35">
      <c r="B62" s="52"/>
      <c r="C62" s="250"/>
      <c r="D62" s="56"/>
      <c r="E62" s="497" t="s">
        <v>438</v>
      </c>
      <c r="F62" s="497"/>
      <c r="G62" s="497"/>
      <c r="H62" s="497"/>
      <c r="I62" s="497"/>
      <c r="J62" s="497"/>
      <c r="K62" s="497"/>
      <c r="L62" s="497"/>
      <c r="M62" s="497"/>
      <c r="N62" s="497"/>
      <c r="O62" s="497"/>
      <c r="P62" s="497"/>
      <c r="Q62" s="497"/>
      <c r="R62" s="497"/>
      <c r="S62" s="371"/>
      <c r="T62" s="372"/>
      <c r="U62" s="372"/>
      <c r="V62" s="372"/>
      <c r="W62" s="372"/>
      <c r="X62" s="372"/>
      <c r="Y62" s="372"/>
      <c r="Z62" s="372"/>
      <c r="AA62" s="372"/>
      <c r="AB62" s="16"/>
    </row>
    <row r="63" spans="2:36" ht="14.5" customHeight="1" x14ac:dyDescent="0.35">
      <c r="B63" s="52"/>
      <c r="C63" s="250"/>
      <c r="D63" s="56"/>
      <c r="E63" s="56"/>
      <c r="F63" s="56"/>
      <c r="G63" s="56"/>
      <c r="H63" s="56"/>
      <c r="I63" s="56"/>
      <c r="J63" s="56"/>
      <c r="K63" s="249"/>
      <c r="L63" s="249"/>
      <c r="M63" s="56"/>
      <c r="N63" s="56"/>
      <c r="O63" s="249"/>
      <c r="P63" s="249"/>
      <c r="Q63" s="56"/>
      <c r="R63" s="56"/>
      <c r="S63" s="371"/>
      <c r="T63" s="372"/>
      <c r="U63" s="372"/>
      <c r="V63" s="372"/>
      <c r="W63" s="372"/>
      <c r="X63" s="372"/>
      <c r="Y63" s="372"/>
      <c r="Z63" s="372"/>
      <c r="AA63" s="372"/>
      <c r="AB63" s="16"/>
    </row>
    <row r="64" spans="2:36" ht="10" customHeight="1" x14ac:dyDescent="0.35">
      <c r="B64" s="52"/>
      <c r="C64" s="250"/>
      <c r="D64" s="56"/>
      <c r="E64" s="54" t="s">
        <v>14</v>
      </c>
      <c r="F64" s="56" t="s">
        <v>31</v>
      </c>
      <c r="G64" s="56"/>
      <c r="H64" s="56"/>
      <c r="I64" s="56"/>
      <c r="J64" s="56"/>
      <c r="K64" s="161" t="s">
        <v>2</v>
      </c>
      <c r="L64" s="161"/>
      <c r="M64" s="161" t="s">
        <v>3</v>
      </c>
      <c r="N64" s="161"/>
      <c r="O64" s="161" t="s">
        <v>2</v>
      </c>
      <c r="P64" s="161"/>
      <c r="Q64" s="161"/>
      <c r="R64" s="56"/>
      <c r="S64" s="371"/>
      <c r="T64" s="372"/>
      <c r="U64" s="372"/>
      <c r="V64" s="372"/>
      <c r="W64" s="372"/>
      <c r="X64" s="372"/>
      <c r="Y64" s="372"/>
      <c r="Z64" s="372"/>
      <c r="AA64" s="372"/>
      <c r="AB64" s="16"/>
    </row>
    <row r="65" spans="2:28" ht="13.5" customHeight="1" x14ac:dyDescent="0.35">
      <c r="B65" s="52"/>
      <c r="C65" s="250"/>
      <c r="D65" s="56"/>
      <c r="E65" s="54"/>
      <c r="F65" s="56"/>
      <c r="G65" s="56"/>
      <c r="H65" s="56"/>
      <c r="I65" s="56"/>
      <c r="J65" s="56"/>
      <c r="K65" s="161" t="s">
        <v>436</v>
      </c>
      <c r="L65" s="161"/>
      <c r="M65" s="56"/>
      <c r="N65" s="56"/>
      <c r="O65" s="161" t="s">
        <v>436</v>
      </c>
      <c r="P65" s="161"/>
      <c r="Q65" s="161"/>
      <c r="R65" s="56"/>
      <c r="S65" s="371"/>
      <c r="T65" s="372"/>
      <c r="U65" s="375"/>
      <c r="V65" s="372"/>
      <c r="W65" s="372"/>
      <c r="X65" s="372"/>
      <c r="Y65" s="372"/>
      <c r="Z65" s="372"/>
      <c r="AA65" s="372"/>
      <c r="AB65" s="16"/>
    </row>
    <row r="66" spans="2:28" ht="19" customHeight="1" x14ac:dyDescent="0.35">
      <c r="B66" s="52"/>
      <c r="C66" s="250"/>
      <c r="D66" s="56"/>
      <c r="E66" s="501" t="s">
        <v>32</v>
      </c>
      <c r="F66" s="501"/>
      <c r="G66" s="501"/>
      <c r="H66" s="501"/>
      <c r="I66" s="501"/>
      <c r="J66" s="161"/>
      <c r="K66" s="376"/>
      <c r="L66" s="309"/>
      <c r="M66" s="265" t="s">
        <v>35</v>
      </c>
      <c r="N66" s="265"/>
      <c r="O66" s="373" t="str">
        <f>IF(K66&gt;0,(1/(($O$48-(-IF(K61&gt;0,K61,8)))/K66)),"0")</f>
        <v>0</v>
      </c>
      <c r="P66" s="374"/>
      <c r="Q66" s="265" t="s">
        <v>17</v>
      </c>
      <c r="R66" s="56"/>
      <c r="S66" s="371"/>
      <c r="T66" s="372"/>
      <c r="U66" s="375"/>
      <c r="V66" s="372"/>
      <c r="W66" s="372"/>
      <c r="X66" s="372"/>
      <c r="Y66" s="372"/>
      <c r="Z66" s="372"/>
      <c r="AA66" s="372"/>
      <c r="AB66" s="16"/>
    </row>
    <row r="67" spans="2:28" ht="22.5" customHeight="1" x14ac:dyDescent="0.35">
      <c r="B67" s="52"/>
      <c r="C67" s="250"/>
      <c r="D67" s="56"/>
      <c r="E67" s="501" t="s">
        <v>489</v>
      </c>
      <c r="F67" s="501"/>
      <c r="G67" s="501"/>
      <c r="H67" s="501"/>
      <c r="I67" s="501"/>
      <c r="J67" s="161"/>
      <c r="K67" s="376"/>
      <c r="L67" s="309"/>
      <c r="M67" s="265" t="s">
        <v>35</v>
      </c>
      <c r="N67" s="265"/>
      <c r="O67" s="373"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74"/>
      <c r="Q67" s="265" t="s">
        <v>17</v>
      </c>
      <c r="R67" s="56"/>
      <c r="S67" s="371"/>
      <c r="T67" s="372"/>
      <c r="U67" s="372"/>
      <c r="V67" s="372"/>
      <c r="W67" s="372"/>
      <c r="X67" s="372"/>
      <c r="Y67" s="372"/>
      <c r="Z67" s="372"/>
      <c r="AA67" s="372"/>
      <c r="AB67" s="16"/>
    </row>
    <row r="68" spans="2:28" ht="13.5" customHeight="1" x14ac:dyDescent="0.35">
      <c r="B68" s="52"/>
      <c r="C68" s="250"/>
      <c r="D68" s="56"/>
      <c r="E68" s="501" t="s">
        <v>400</v>
      </c>
      <c r="F68" s="501"/>
      <c r="G68" s="501"/>
      <c r="H68" s="501"/>
      <c r="I68" s="501"/>
      <c r="J68" s="161"/>
      <c r="K68" s="376"/>
      <c r="L68" s="309"/>
      <c r="M68" s="265" t="s">
        <v>35</v>
      </c>
      <c r="N68" s="265"/>
      <c r="O68" s="373" t="str">
        <f>IF(K68&gt;0,(1/(($O$48-'Data Tables'!O7)/K68)),"0")</f>
        <v>0</v>
      </c>
      <c r="P68" s="374"/>
      <c r="Q68" s="265" t="s">
        <v>17</v>
      </c>
      <c r="R68" s="56"/>
      <c r="S68" s="371"/>
      <c r="T68" s="372"/>
      <c r="U68" s="375"/>
      <c r="V68" s="372"/>
      <c r="W68" s="372"/>
      <c r="X68" s="372"/>
      <c r="Y68" s="372"/>
      <c r="Z68" s="372"/>
      <c r="AA68" s="372"/>
      <c r="AB68" s="16"/>
    </row>
    <row r="69" spans="2:28" ht="16.5" customHeight="1" x14ac:dyDescent="0.35">
      <c r="B69" s="52"/>
      <c r="C69" s="250"/>
      <c r="D69" s="56"/>
      <c r="E69" s="501" t="s">
        <v>34</v>
      </c>
      <c r="F69" s="501"/>
      <c r="G69" s="501"/>
      <c r="H69" s="501"/>
      <c r="I69" s="501"/>
      <c r="J69" s="161"/>
      <c r="K69" s="376"/>
      <c r="L69" s="309"/>
      <c r="M69" s="265" t="s">
        <v>35</v>
      </c>
      <c r="N69" s="265"/>
      <c r="O69" s="373" t="str">
        <f>IF(K69&gt;0,(1/(($O$48-'Data Tables'!O5)/K69)),"0")</f>
        <v>0</v>
      </c>
      <c r="P69" s="374"/>
      <c r="Q69" s="265" t="s">
        <v>17</v>
      </c>
      <c r="R69" s="56"/>
      <c r="S69" s="371"/>
      <c r="T69" s="372"/>
      <c r="U69" s="372"/>
      <c r="V69" s="372"/>
      <c r="W69" s="372"/>
      <c r="X69" s="372"/>
      <c r="Y69" s="372"/>
      <c r="Z69" s="372"/>
      <c r="AA69" s="372"/>
      <c r="AB69" s="16"/>
    </row>
    <row r="70" spans="2:28" ht="16.5" customHeight="1" x14ac:dyDescent="0.35">
      <c r="B70" s="52"/>
      <c r="C70" s="250"/>
      <c r="D70" s="56"/>
      <c r="E70" s="501" t="s">
        <v>245</v>
      </c>
      <c r="F70" s="501"/>
      <c r="G70" s="501"/>
      <c r="H70" s="501"/>
      <c r="I70" s="501"/>
      <c r="J70" s="161"/>
      <c r="K70" s="376"/>
      <c r="L70" s="309"/>
      <c r="M70" s="265" t="s">
        <v>35</v>
      </c>
      <c r="N70" s="265"/>
      <c r="O70" s="373" t="str">
        <f>IF(K70&gt;0,(1/(($O$48-'Data Tables'!O6)/K70)),"0")</f>
        <v>0</v>
      </c>
      <c r="P70" s="374"/>
      <c r="Q70" s="265" t="s">
        <v>17</v>
      </c>
      <c r="R70" s="56"/>
      <c r="S70" s="371"/>
      <c r="T70" s="372"/>
      <c r="U70" s="372"/>
      <c r="V70" s="372"/>
      <c r="W70" s="372"/>
      <c r="X70" s="372"/>
      <c r="Y70" s="372"/>
      <c r="Z70" s="372"/>
      <c r="AA70" s="372"/>
      <c r="AB70" s="16"/>
    </row>
    <row r="71" spans="2:28" ht="16.5" customHeight="1" x14ac:dyDescent="0.35">
      <c r="B71" s="52"/>
      <c r="C71" s="250"/>
      <c r="D71" s="56"/>
      <c r="E71" s="501" t="s">
        <v>439</v>
      </c>
      <c r="F71" s="501"/>
      <c r="G71" s="501"/>
      <c r="H71" s="501"/>
      <c r="I71" s="501"/>
      <c r="J71" s="161"/>
      <c r="K71" s="376"/>
      <c r="L71" s="309"/>
      <c r="M71" s="265" t="s">
        <v>35</v>
      </c>
      <c r="N71" s="265"/>
      <c r="O71" s="373" t="str">
        <f>IF(K71&gt;0,(1/(($O$48-'Data Tables'!O4)/K71)),"0")</f>
        <v>0</v>
      </c>
      <c r="P71" s="374"/>
      <c r="Q71" s="265" t="s">
        <v>17</v>
      </c>
      <c r="R71" s="56"/>
      <c r="S71" s="371"/>
      <c r="T71" s="372"/>
      <c r="U71" s="372"/>
      <c r="V71" s="372"/>
      <c r="W71" s="372"/>
      <c r="X71" s="372"/>
      <c r="Y71" s="372"/>
      <c r="Z71" s="372"/>
      <c r="AA71" s="372"/>
      <c r="AB71" s="16"/>
    </row>
    <row r="72" spans="2:28" ht="22" customHeight="1" x14ac:dyDescent="0.35">
      <c r="B72" s="52"/>
      <c r="C72" s="250"/>
      <c r="D72" s="56"/>
      <c r="E72" s="56"/>
      <c r="F72" s="56"/>
      <c r="G72" s="56"/>
      <c r="H72" s="56"/>
      <c r="I72" s="56"/>
      <c r="J72" s="56"/>
      <c r="K72" s="56"/>
      <c r="L72" s="56"/>
      <c r="M72" s="265"/>
      <c r="N72" s="265"/>
      <c r="O72" s="377"/>
      <c r="P72" s="377"/>
      <c r="Q72" s="265"/>
      <c r="R72" s="56"/>
      <c r="S72" s="371"/>
      <c r="T72" s="372"/>
      <c r="U72" s="372"/>
      <c r="V72" s="372"/>
      <c r="W72" s="372"/>
      <c r="X72" s="372"/>
      <c r="Y72" s="372"/>
      <c r="Z72" s="372"/>
      <c r="AA72" s="372"/>
      <c r="AB72" s="16"/>
    </row>
    <row r="73" spans="2:28" ht="15.65" customHeight="1" x14ac:dyDescent="0.35">
      <c r="B73" s="52"/>
      <c r="C73" s="250"/>
      <c r="D73" s="56"/>
      <c r="E73" s="56"/>
      <c r="F73" s="495" t="s">
        <v>64</v>
      </c>
      <c r="G73" s="495"/>
      <c r="H73" s="495"/>
      <c r="I73" s="495"/>
      <c r="J73" s="56"/>
      <c r="K73" s="304" t="e">
        <f>K10-(SUM(K66:K71))</f>
        <v>#VALUE!</v>
      </c>
      <c r="L73" s="297"/>
      <c r="M73" s="272" t="s">
        <v>15</v>
      </c>
      <c r="N73" s="272"/>
      <c r="O73" s="323">
        <f>SUM(O66:O71)</f>
        <v>0</v>
      </c>
      <c r="P73" s="378"/>
      <c r="Q73" s="272" t="s">
        <v>17</v>
      </c>
      <c r="R73" s="56"/>
      <c r="S73" s="371"/>
      <c r="T73" s="372"/>
      <c r="U73" s="372"/>
      <c r="V73" s="372"/>
      <c r="W73" s="372"/>
      <c r="X73" s="372"/>
      <c r="Y73" s="372"/>
      <c r="Z73" s="372"/>
      <c r="AA73" s="372"/>
      <c r="AB73" s="16"/>
    </row>
    <row r="74" spans="2:28" ht="18" customHeight="1" x14ac:dyDescent="0.35">
      <c r="B74" s="52"/>
      <c r="C74" s="250"/>
      <c r="D74" s="56"/>
      <c r="E74" s="56"/>
      <c r="F74" s="56"/>
      <c r="G74" s="56"/>
      <c r="H74" s="56"/>
      <c r="I74" s="56"/>
      <c r="J74" s="56"/>
      <c r="K74" s="56"/>
      <c r="L74" s="56"/>
      <c r="M74" s="56"/>
      <c r="N74" s="56"/>
      <c r="O74" s="56"/>
      <c r="P74" s="56"/>
      <c r="Q74" s="56"/>
      <c r="R74" s="56"/>
      <c r="S74" s="371"/>
      <c r="T74" s="372"/>
      <c r="U74" s="372"/>
      <c r="V74" s="372"/>
      <c r="W74" s="372"/>
      <c r="X74" s="372"/>
      <c r="Y74" s="372"/>
      <c r="Z74" s="372"/>
      <c r="AA74" s="372"/>
      <c r="AB74" s="16"/>
    </row>
    <row r="75" spans="2:28" ht="69.5" customHeight="1" x14ac:dyDescent="0.35">
      <c r="B75" s="52"/>
      <c r="C75" s="250"/>
      <c r="D75" s="56"/>
      <c r="E75" s="497" t="s">
        <v>441</v>
      </c>
      <c r="F75" s="497"/>
      <c r="G75" s="497"/>
      <c r="H75" s="497"/>
      <c r="I75" s="497"/>
      <c r="J75" s="497"/>
      <c r="K75" s="497"/>
      <c r="L75" s="497"/>
      <c r="M75" s="497"/>
      <c r="N75" s="497"/>
      <c r="O75" s="497"/>
      <c r="P75" s="497"/>
      <c r="Q75" s="497"/>
      <c r="R75" s="497"/>
      <c r="S75" s="371"/>
      <c r="T75" s="372"/>
      <c r="U75" s="372"/>
      <c r="V75" s="372"/>
      <c r="W75" s="372"/>
      <c r="X75" s="372"/>
      <c r="Y75" s="372"/>
      <c r="Z75" s="372"/>
      <c r="AA75" s="372"/>
      <c r="AB75" s="16"/>
    </row>
    <row r="76" spans="2:28" ht="15.5" x14ac:dyDescent="0.35">
      <c r="B76" s="52"/>
      <c r="C76" s="250"/>
      <c r="D76" s="56"/>
      <c r="E76" s="56"/>
      <c r="F76" s="56"/>
      <c r="G76" s="56"/>
      <c r="H76" s="56"/>
      <c r="I76" s="56"/>
      <c r="J76" s="56"/>
      <c r="K76" s="56"/>
      <c r="L76" s="56"/>
      <c r="M76" s="56"/>
      <c r="N76" s="56"/>
      <c r="O76" s="56"/>
      <c r="P76" s="56"/>
      <c r="Q76" s="56"/>
      <c r="R76" s="56"/>
      <c r="S76" s="371"/>
      <c r="T76" s="372"/>
      <c r="U76" s="372"/>
      <c r="V76" s="372"/>
      <c r="W76" s="372"/>
      <c r="X76" s="372"/>
      <c r="Y76" s="372"/>
      <c r="Z76" s="372"/>
      <c r="AA76" s="372"/>
      <c r="AB76" s="16"/>
    </row>
    <row r="77" spans="2:28" ht="15.5" x14ac:dyDescent="0.35">
      <c r="B77" s="52"/>
      <c r="C77" s="250"/>
      <c r="D77" s="56"/>
      <c r="E77" s="54" t="s">
        <v>27</v>
      </c>
      <c r="F77" s="56" t="s">
        <v>31</v>
      </c>
      <c r="G77" s="56"/>
      <c r="H77" s="56"/>
      <c r="I77" s="56"/>
      <c r="J77" s="56"/>
      <c r="K77" s="161" t="s">
        <v>2</v>
      </c>
      <c r="L77" s="161"/>
      <c r="M77" s="161" t="s">
        <v>3</v>
      </c>
      <c r="N77" s="161"/>
      <c r="O77" s="161" t="s">
        <v>2</v>
      </c>
      <c r="P77" s="161"/>
      <c r="Q77" s="161"/>
      <c r="R77" s="56"/>
      <c r="S77" s="371"/>
      <c r="T77" s="372"/>
      <c r="U77" s="372"/>
      <c r="V77" s="372"/>
      <c r="W77" s="372"/>
      <c r="X77" s="372"/>
      <c r="Y77" s="372"/>
      <c r="Z77" s="372"/>
      <c r="AA77" s="372"/>
      <c r="AB77" s="16"/>
    </row>
    <row r="78" spans="2:28" ht="15.5" x14ac:dyDescent="0.35">
      <c r="B78" s="52"/>
      <c r="C78" s="250"/>
      <c r="D78" s="56"/>
      <c r="E78" s="54"/>
      <c r="F78" s="56"/>
      <c r="G78" s="56"/>
      <c r="H78" s="56"/>
      <c r="I78" s="56"/>
      <c r="J78" s="56"/>
      <c r="K78" s="161" t="s">
        <v>436</v>
      </c>
      <c r="L78" s="56"/>
      <c r="M78" s="56"/>
      <c r="N78" s="56"/>
      <c r="O78" s="161" t="s">
        <v>436</v>
      </c>
      <c r="P78" s="161"/>
      <c r="Q78" s="161"/>
      <c r="R78" s="56"/>
      <c r="S78" s="371"/>
      <c r="T78" s="372"/>
      <c r="U78" s="372"/>
      <c r="V78" s="372"/>
      <c r="W78" s="372"/>
      <c r="X78" s="372"/>
      <c r="Y78" s="372"/>
      <c r="Z78" s="372"/>
      <c r="AA78" s="372"/>
      <c r="AB78" s="16"/>
    </row>
    <row r="79" spans="2:28" ht="15.5" x14ac:dyDescent="0.35">
      <c r="B79" s="52"/>
      <c r="C79" s="250"/>
      <c r="D79" s="56"/>
      <c r="E79" s="501" t="s">
        <v>32</v>
      </c>
      <c r="F79" s="501"/>
      <c r="G79" s="501"/>
      <c r="H79" s="501"/>
      <c r="I79" s="501"/>
      <c r="J79" s="161"/>
      <c r="K79" s="314"/>
      <c r="L79" s="379"/>
      <c r="M79" s="265" t="s">
        <v>61</v>
      </c>
      <c r="N79" s="265"/>
      <c r="O79" s="296" t="e">
        <f>K79*($O$48-(-IF(K61&gt;0,K61,8)))</f>
        <v>#VALUE!</v>
      </c>
      <c r="P79" s="292"/>
      <c r="Q79" s="265" t="s">
        <v>35</v>
      </c>
      <c r="R79" s="56"/>
      <c r="S79" s="371"/>
      <c r="T79" s="372"/>
      <c r="U79" s="372"/>
      <c r="V79" s="372"/>
      <c r="W79" s="372"/>
      <c r="X79" s="372"/>
      <c r="Y79" s="372"/>
      <c r="Z79" s="372"/>
      <c r="AA79" s="372"/>
      <c r="AB79" s="16"/>
    </row>
    <row r="80" spans="2:28" ht="15.5" x14ac:dyDescent="0.35">
      <c r="B80" s="52"/>
      <c r="C80" s="250"/>
      <c r="D80" s="56"/>
      <c r="E80" s="501" t="s">
        <v>489</v>
      </c>
      <c r="F80" s="501"/>
      <c r="G80" s="501"/>
      <c r="H80" s="501"/>
      <c r="I80" s="501"/>
      <c r="J80" s="161"/>
      <c r="K80" s="314"/>
      <c r="L80" s="379"/>
      <c r="M80" s="265" t="s">
        <v>61</v>
      </c>
      <c r="N80" s="265"/>
      <c r="O80" s="296"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92"/>
      <c r="Q80" s="265" t="s">
        <v>35</v>
      </c>
      <c r="R80" s="56"/>
      <c r="S80" s="371"/>
      <c r="T80" s="372"/>
      <c r="U80" s="372"/>
      <c r="V80" s="372"/>
      <c r="W80" s="372"/>
      <c r="X80" s="372"/>
      <c r="Y80" s="372"/>
      <c r="Z80" s="372"/>
      <c r="AA80" s="372"/>
      <c r="AB80" s="16"/>
    </row>
    <row r="81" spans="2:28" ht="15.5" x14ac:dyDescent="0.35">
      <c r="B81" s="52"/>
      <c r="C81" s="250"/>
      <c r="D81" s="56"/>
      <c r="E81" s="501" t="s">
        <v>400</v>
      </c>
      <c r="F81" s="501"/>
      <c r="G81" s="501"/>
      <c r="H81" s="501"/>
      <c r="I81" s="501"/>
      <c r="J81" s="161"/>
      <c r="K81" s="314"/>
      <c r="L81" s="379"/>
      <c r="M81" s="265" t="s">
        <v>61</v>
      </c>
      <c r="N81" s="265"/>
      <c r="O81" s="296" t="e">
        <f>K81*($O$48-'Data Tables'!O7)</f>
        <v>#VALUE!</v>
      </c>
      <c r="P81" s="292"/>
      <c r="Q81" s="265" t="s">
        <v>35</v>
      </c>
      <c r="R81" s="56"/>
      <c r="S81" s="371"/>
      <c r="T81" s="372"/>
      <c r="U81" s="372"/>
      <c r="V81" s="372"/>
      <c r="W81" s="372"/>
      <c r="X81" s="372"/>
      <c r="Y81" s="372"/>
      <c r="Z81" s="372"/>
      <c r="AA81" s="372"/>
      <c r="AB81" s="16"/>
    </row>
    <row r="82" spans="2:28" ht="15.5" x14ac:dyDescent="0.35">
      <c r="B82" s="52"/>
      <c r="C82" s="250"/>
      <c r="D82" s="56"/>
      <c r="E82" s="501" t="s">
        <v>34</v>
      </c>
      <c r="F82" s="501"/>
      <c r="G82" s="501"/>
      <c r="H82" s="501"/>
      <c r="I82" s="501"/>
      <c r="J82" s="161"/>
      <c r="K82" s="314"/>
      <c r="L82" s="379"/>
      <c r="M82" s="265" t="s">
        <v>61</v>
      </c>
      <c r="N82" s="265"/>
      <c r="O82" s="296" t="e">
        <f>K82*($O$48-'Data Tables'!O5)</f>
        <v>#VALUE!</v>
      </c>
      <c r="P82" s="292"/>
      <c r="Q82" s="265" t="s">
        <v>35</v>
      </c>
      <c r="R82" s="56"/>
      <c r="S82" s="371"/>
      <c r="T82" s="372"/>
      <c r="U82" s="372"/>
      <c r="V82" s="372"/>
      <c r="W82" s="372"/>
      <c r="X82" s="372"/>
      <c r="Y82" s="372"/>
      <c r="Z82" s="372"/>
      <c r="AA82" s="372"/>
      <c r="AB82" s="16"/>
    </row>
    <row r="83" spans="2:28" ht="15.5" x14ac:dyDescent="0.35">
      <c r="B83" s="52"/>
      <c r="C83" s="250"/>
      <c r="D83" s="56"/>
      <c r="E83" s="501" t="s">
        <v>245</v>
      </c>
      <c r="F83" s="501"/>
      <c r="G83" s="501"/>
      <c r="H83" s="501"/>
      <c r="I83" s="501"/>
      <c r="J83" s="161"/>
      <c r="K83" s="314"/>
      <c r="L83" s="379"/>
      <c r="M83" s="265" t="s">
        <v>61</v>
      </c>
      <c r="N83" s="265"/>
      <c r="O83" s="296" t="e">
        <f>K83*($O$48-'Data Tables'!O6)</f>
        <v>#VALUE!</v>
      </c>
      <c r="P83" s="292"/>
      <c r="Q83" s="265" t="s">
        <v>35</v>
      </c>
      <c r="R83" s="56"/>
      <c r="S83" s="371"/>
      <c r="T83" s="372"/>
      <c r="U83" s="372"/>
      <c r="V83" s="372"/>
      <c r="W83" s="372"/>
      <c r="X83" s="372"/>
      <c r="Y83" s="372"/>
      <c r="Z83" s="372"/>
      <c r="AA83" s="372"/>
      <c r="AB83" s="16"/>
    </row>
    <row r="84" spans="2:28" ht="26.15" customHeight="1" x14ac:dyDescent="0.35">
      <c r="B84" s="52"/>
      <c r="C84" s="250"/>
      <c r="D84" s="56"/>
      <c r="E84" s="501" t="s">
        <v>439</v>
      </c>
      <c r="F84" s="501"/>
      <c r="G84" s="501"/>
      <c r="H84" s="501"/>
      <c r="I84" s="501"/>
      <c r="J84" s="161"/>
      <c r="K84" s="314"/>
      <c r="L84" s="379"/>
      <c r="M84" s="265" t="s">
        <v>61</v>
      </c>
      <c r="N84" s="265"/>
      <c r="O84" s="296" t="e">
        <f>K84*($O$48-'Data Tables'!O4)</f>
        <v>#VALUE!</v>
      </c>
      <c r="P84" s="292"/>
      <c r="Q84" s="265" t="s">
        <v>35</v>
      </c>
      <c r="R84" s="56"/>
      <c r="S84" s="371"/>
      <c r="T84" s="372"/>
      <c r="U84" s="372"/>
      <c r="V84" s="372"/>
      <c r="W84" s="372"/>
      <c r="X84" s="372"/>
      <c r="Y84" s="372"/>
      <c r="Z84" s="372"/>
      <c r="AA84" s="372"/>
      <c r="AB84" s="16"/>
    </row>
    <row r="85" spans="2:28" ht="30" customHeight="1" x14ac:dyDescent="0.35">
      <c r="B85" s="52"/>
      <c r="C85" s="250"/>
      <c r="D85" s="56"/>
      <c r="E85" s="56"/>
      <c r="F85" s="56"/>
      <c r="G85" s="56"/>
      <c r="H85" s="56"/>
      <c r="I85" s="56"/>
      <c r="J85" s="56"/>
      <c r="K85" s="380"/>
      <c r="L85" s="380"/>
      <c r="M85" s="265"/>
      <c r="N85" s="265"/>
      <c r="O85" s="265"/>
      <c r="P85" s="265"/>
      <c r="Q85" s="265"/>
      <c r="R85" s="56"/>
      <c r="S85" s="371"/>
      <c r="T85" s="372"/>
      <c r="U85" s="372"/>
      <c r="V85" s="372"/>
      <c r="W85" s="372"/>
      <c r="X85" s="372"/>
      <c r="Y85" s="372"/>
      <c r="Z85" s="372"/>
      <c r="AA85" s="372"/>
      <c r="AB85" s="16"/>
    </row>
    <row r="86" spans="2:28" ht="29.5" customHeight="1" x14ac:dyDescent="0.35">
      <c r="B86" s="52"/>
      <c r="C86" s="250"/>
      <c r="D86" s="56"/>
      <c r="E86" s="56"/>
      <c r="F86" s="495" t="s">
        <v>64</v>
      </c>
      <c r="G86" s="495"/>
      <c r="H86" s="495"/>
      <c r="I86" s="495"/>
      <c r="J86" s="56"/>
      <c r="K86" s="323">
        <f>(SUM(K79:K84))</f>
        <v>0</v>
      </c>
      <c r="L86" s="378"/>
      <c r="M86" s="272" t="s">
        <v>61</v>
      </c>
      <c r="N86" s="272"/>
      <c r="O86" s="304" t="e">
        <f>K10-(SUM(O79:O84))</f>
        <v>#VALUE!</v>
      </c>
      <c r="P86" s="297"/>
      <c r="Q86" s="272" t="s">
        <v>15</v>
      </c>
      <c r="R86" s="56"/>
      <c r="S86" s="371"/>
      <c r="T86" s="372"/>
      <c r="U86" s="372"/>
      <c r="V86" s="372"/>
      <c r="W86" s="372"/>
      <c r="X86" s="372"/>
      <c r="Y86" s="372"/>
      <c r="Z86" s="372"/>
      <c r="AA86" s="372"/>
      <c r="AB86" s="16"/>
    </row>
    <row r="87" spans="2:28" ht="15" customHeight="1" x14ac:dyDescent="0.35">
      <c r="B87" s="52"/>
      <c r="C87" s="250"/>
      <c r="D87" s="56"/>
      <c r="E87" s="56"/>
      <c r="F87" s="56"/>
      <c r="G87" s="56"/>
      <c r="H87" s="56"/>
      <c r="I87" s="56"/>
      <c r="J87" s="56"/>
      <c r="K87" s="56"/>
      <c r="L87" s="56"/>
      <c r="M87" s="56"/>
      <c r="N87" s="56"/>
      <c r="O87" s="56"/>
      <c r="P87" s="56"/>
      <c r="Q87" s="56"/>
      <c r="R87" s="56"/>
      <c r="S87" s="371"/>
      <c r="T87" s="372"/>
      <c r="U87" s="372"/>
      <c r="V87" s="372"/>
      <c r="W87" s="372"/>
      <c r="X87" s="372"/>
      <c r="Y87" s="372"/>
      <c r="Z87" s="372"/>
      <c r="AA87" s="372"/>
      <c r="AB87" s="16"/>
    </row>
    <row r="88" spans="2:28" ht="44" customHeight="1" thickBot="1" x14ac:dyDescent="0.4">
      <c r="B88" s="57"/>
      <c r="C88" s="301"/>
      <c r="D88" s="369"/>
      <c r="E88" s="517" t="s">
        <v>440</v>
      </c>
      <c r="F88" s="517"/>
      <c r="G88" s="517"/>
      <c r="H88" s="517"/>
      <c r="I88" s="517"/>
      <c r="J88" s="517"/>
      <c r="K88" s="517"/>
      <c r="L88" s="517"/>
      <c r="M88" s="517"/>
      <c r="N88" s="517"/>
      <c r="O88" s="517"/>
      <c r="P88" s="517"/>
      <c r="Q88" s="517"/>
      <c r="R88" s="517"/>
      <c r="S88" s="381"/>
      <c r="T88" s="372"/>
      <c r="U88" s="372"/>
      <c r="V88" s="372"/>
      <c r="W88" s="372"/>
      <c r="X88" s="372"/>
      <c r="Y88" s="372"/>
      <c r="Z88" s="372"/>
      <c r="AA88" s="372"/>
      <c r="AB88" s="16"/>
    </row>
    <row r="89" spans="2:28" ht="18" customHeight="1" x14ac:dyDescent="0.3">
      <c r="B89" s="46"/>
      <c r="C89" s="46"/>
      <c r="D89" s="46"/>
      <c r="E89" s="46"/>
      <c r="F89" s="46"/>
      <c r="G89" s="46"/>
      <c r="H89" s="46"/>
      <c r="I89" s="46"/>
      <c r="J89" s="46"/>
      <c r="K89" s="46"/>
      <c r="L89" s="46"/>
      <c r="M89" s="46"/>
      <c r="N89" s="46"/>
      <c r="O89" s="46"/>
      <c r="P89" s="46"/>
      <c r="Q89" s="46"/>
      <c r="R89" s="46"/>
      <c r="S89" s="46"/>
      <c r="T89" s="207"/>
      <c r="U89" s="207"/>
      <c r="V89" s="207"/>
      <c r="W89" s="207"/>
      <c r="X89" s="207"/>
      <c r="Y89" s="207"/>
      <c r="Z89" s="207"/>
      <c r="AA89" s="207"/>
      <c r="AB89" s="16"/>
    </row>
    <row r="90" spans="2:28" x14ac:dyDescent="0.25"/>
  </sheetData>
  <sheetProtection algorithmName="SHA-512" hashValue="KyntuljIdIP8NDLot0bF7rjCWRwP/cvYmrIDT6nYvrm7pjsbVNcgKbBm8wWr3YhtdLzo8uXt1mYkyJiGzHKUrw==" saltValue="KBCX7zDknUTb8Y06SU0gpQ==" spinCount="100000" sheet="1" objects="1" scenarios="1" selectLockedCells="1"/>
  <mergeCells count="83">
    <mergeCell ref="E82:I82"/>
    <mergeCell ref="E83:I83"/>
    <mergeCell ref="E84:I84"/>
    <mergeCell ref="F86:I86"/>
    <mergeCell ref="E88:R88"/>
    <mergeCell ref="E81:I81"/>
    <mergeCell ref="E62:R62"/>
    <mergeCell ref="E66:I66"/>
    <mergeCell ref="E67:I67"/>
    <mergeCell ref="E68:I68"/>
    <mergeCell ref="E69:I69"/>
    <mergeCell ref="E70:I70"/>
    <mergeCell ref="E71:I71"/>
    <mergeCell ref="F73:I73"/>
    <mergeCell ref="E75:R75"/>
    <mergeCell ref="E79:I79"/>
    <mergeCell ref="E80:I80"/>
    <mergeCell ref="G61:J61"/>
    <mergeCell ref="E45:I45"/>
    <mergeCell ref="R45:V45"/>
    <mergeCell ref="I48:N48"/>
    <mergeCell ref="F51:J51"/>
    <mergeCell ref="E53:I53"/>
    <mergeCell ref="E54:I54"/>
    <mergeCell ref="E55:I55"/>
    <mergeCell ref="E56:I56"/>
    <mergeCell ref="E57:I57"/>
    <mergeCell ref="E58:I58"/>
    <mergeCell ref="F60:J60"/>
    <mergeCell ref="E41:I41"/>
    <mergeCell ref="R41:V41"/>
    <mergeCell ref="E42:I42"/>
    <mergeCell ref="R42:V42"/>
    <mergeCell ref="E43:I43"/>
    <mergeCell ref="R43:V43"/>
    <mergeCell ref="E39:I39"/>
    <mergeCell ref="R39:V39"/>
    <mergeCell ref="E40:I40"/>
    <mergeCell ref="R40:V40"/>
    <mergeCell ref="E36:I36"/>
    <mergeCell ref="R36:V36"/>
    <mergeCell ref="E37:I37"/>
    <mergeCell ref="R37:V37"/>
    <mergeCell ref="E38:I38"/>
    <mergeCell ref="R38:V38"/>
    <mergeCell ref="E33:I33"/>
    <mergeCell ref="R33:V33"/>
    <mergeCell ref="E34:I34"/>
    <mergeCell ref="R34:V34"/>
    <mergeCell ref="E35:I35"/>
    <mergeCell ref="R35:V35"/>
    <mergeCell ref="E30:I30"/>
    <mergeCell ref="R30:V30"/>
    <mergeCell ref="E31:I31"/>
    <mergeCell ref="R31:V31"/>
    <mergeCell ref="E32:I32"/>
    <mergeCell ref="R32:V32"/>
    <mergeCell ref="E27:I27"/>
    <mergeCell ref="R27:V27"/>
    <mergeCell ref="E28:I28"/>
    <mergeCell ref="R28:V28"/>
    <mergeCell ref="E29:I29"/>
    <mergeCell ref="R29:V29"/>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F3:R3"/>
    <mergeCell ref="E4:R6"/>
    <mergeCell ref="F8:J8"/>
    <mergeCell ref="F13:J13"/>
    <mergeCell ref="K15:L15"/>
    <mergeCell ref="R15:V15"/>
  </mergeCells>
  <dataValidations count="4">
    <dataValidation type="list" allowBlank="1" showInputMessage="1" showErrorMessage="1" sqref="W21" xr:uid="{B49FD6C7-224E-4222-A868-086971030D8F}">
      <formula1>"Freely draining, Impermeable - drained for arable, Impermeable - drained for arable and grassland"</formula1>
    </dataValidation>
    <dataValidation type="list" allowBlank="1" showInputMessage="1" showErrorMessage="1" sqref="W20" xr:uid="{D260B993-EEB9-40C1-AFB4-C36DB73C41C8}">
      <formula1>"Wensum, Yare, Bure"</formula1>
    </dataValidation>
    <dataValidation type="list" allowBlank="1" showInputMessage="1" showErrorMessage="1" sqref="W15 M21:M23 K15:L15 W23 M26:M43 W26:W43" xr:uid="{937B1339-9289-4C63-AD15-93A3A764D7A0}">
      <formula1>"Yes,No"</formula1>
    </dataValidation>
    <dataValidation type="list" allowBlank="1" showInputMessage="1" showErrorMessage="1" sqref="W22" xr:uid="{95015AFC-28B1-401D-985F-7236BD33279D}">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xr:uid="{E9547894-FB5D-43DE-B369-877EBCE46834}"/>
  </hyperlinks>
  <pageMargins left="0.25" right="0.25" top="0.75" bottom="0.75" header="0.3" footer="0.3"/>
  <pageSetup paperSize="9" scale="48"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A1E2-E074-4D63-A2D9-1D11183CB0E6}">
  <sheetPr>
    <tabColor theme="7" tint="0.79998168889431442"/>
    <pageSetUpPr fitToPage="1"/>
  </sheetPr>
  <dimension ref="A1:BA98"/>
  <sheetViews>
    <sheetView zoomScale="85" zoomScaleNormal="85" workbookViewId="0">
      <selection activeCell="K16" sqref="K16:M16"/>
    </sheetView>
  </sheetViews>
  <sheetFormatPr defaultRowHeight="12.5" zeroHeight="1" x14ac:dyDescent="0.25"/>
  <cols>
    <col min="2" max="3" width="0.81640625" customWidth="1"/>
    <col min="4" max="4" width="2.26953125" customWidth="1"/>
    <col min="5" max="5" width="11.7265625" customWidth="1"/>
    <col min="7" max="7" width="10" customWidth="1"/>
    <col min="8" max="8" width="10.26953125" customWidth="1"/>
    <col min="9" max="9" width="14" customWidth="1"/>
    <col min="10" max="10" width="13.54296875" customWidth="1"/>
    <col min="11" max="11" width="10" customWidth="1"/>
    <col min="12" max="12" width="2.26953125" customWidth="1"/>
    <col min="13" max="13" width="10" customWidth="1"/>
    <col min="14" max="14" width="12.7265625" customWidth="1"/>
    <col min="15" max="15" width="16" customWidth="1"/>
    <col min="16" max="16" width="10.54296875" customWidth="1"/>
    <col min="17" max="17" width="2.26953125" customWidth="1"/>
    <col min="18" max="18" width="10.1796875" customWidth="1"/>
    <col min="19" max="19" width="11.453125" customWidth="1"/>
    <col min="20" max="20" width="5.453125" customWidth="1"/>
    <col min="21" max="21" width="0.81640625" customWidth="1"/>
    <col min="22" max="22" width="12.26953125" customWidth="1"/>
    <col min="24" max="24" width="25.54296875" customWidth="1"/>
    <col min="25" max="25" width="12.1796875" customWidth="1"/>
    <col min="26" max="26" width="11.90625" customWidth="1"/>
    <col min="27" max="27" width="11.08984375" hidden="1" customWidth="1"/>
    <col min="28" max="28" width="19.90625" hidden="1" customWidth="1"/>
    <col min="29" max="29" width="2.08984375" customWidth="1"/>
    <col min="34" max="34" width="8.7265625" customWidth="1"/>
  </cols>
  <sheetData>
    <row r="1" spans="1:38" ht="9" customHeight="1" thickBot="1" x14ac:dyDescent="0.35">
      <c r="A1" s="46" t="s">
        <v>567</v>
      </c>
    </row>
    <row r="2" spans="1:38" ht="9" customHeight="1" x14ac:dyDescent="0.35">
      <c r="B2" s="49"/>
      <c r="C2" s="50"/>
      <c r="D2" s="348"/>
      <c r="E2" s="348"/>
      <c r="F2" s="348"/>
      <c r="G2" s="348"/>
      <c r="H2" s="348"/>
      <c r="I2" s="348"/>
      <c r="J2" s="348"/>
      <c r="K2" s="348"/>
      <c r="L2" s="348"/>
      <c r="M2" s="348"/>
      <c r="N2" s="348"/>
      <c r="O2" s="348"/>
      <c r="P2" s="348"/>
      <c r="Q2" s="348"/>
      <c r="R2" s="348"/>
      <c r="S2" s="348"/>
      <c r="T2" s="348"/>
      <c r="U2" s="349"/>
      <c r="V2" s="256"/>
      <c r="W2" s="256"/>
      <c r="X2" s="256"/>
      <c r="Y2" s="256"/>
      <c r="Z2" s="256"/>
      <c r="AA2" s="256"/>
      <c r="AB2" s="256"/>
      <c r="AC2" s="256"/>
      <c r="AD2" s="16"/>
    </row>
    <row r="3" spans="1:38" ht="28.5" customHeight="1" x14ac:dyDescent="0.35">
      <c r="B3" s="52"/>
      <c r="C3" s="75"/>
      <c r="D3" s="310"/>
      <c r="E3" s="218" t="s">
        <v>567</v>
      </c>
      <c r="F3" s="502" t="s">
        <v>433</v>
      </c>
      <c r="G3" s="502"/>
      <c r="H3" s="502"/>
      <c r="I3" s="502"/>
      <c r="J3" s="502"/>
      <c r="K3" s="502"/>
      <c r="L3" s="502"/>
      <c r="M3" s="502"/>
      <c r="N3" s="502"/>
      <c r="O3" s="502"/>
      <c r="P3" s="502"/>
      <c r="Q3" s="502"/>
      <c r="R3" s="502"/>
      <c r="S3" s="502"/>
      <c r="T3" s="502"/>
      <c r="U3" s="350"/>
      <c r="V3" s="351"/>
      <c r="W3" s="351"/>
      <c r="X3" s="351"/>
      <c r="Y3" s="351"/>
      <c r="Z3" s="351"/>
      <c r="AA3" s="351"/>
      <c r="AB3" s="351"/>
      <c r="AC3" s="351"/>
      <c r="AD3" s="16"/>
    </row>
    <row r="4" spans="1:38" ht="6.75" customHeight="1" x14ac:dyDescent="0.35">
      <c r="B4" s="52"/>
      <c r="C4" s="61"/>
      <c r="D4" s="311"/>
      <c r="E4" s="497" t="s">
        <v>610</v>
      </c>
      <c r="F4" s="497"/>
      <c r="G4" s="497"/>
      <c r="H4" s="497"/>
      <c r="I4" s="497"/>
      <c r="J4" s="497"/>
      <c r="K4" s="497"/>
      <c r="L4" s="497"/>
      <c r="M4" s="497"/>
      <c r="N4" s="497"/>
      <c r="O4" s="497"/>
      <c r="P4" s="497"/>
      <c r="Q4" s="497"/>
      <c r="R4" s="497"/>
      <c r="S4" s="497"/>
      <c r="T4" s="497"/>
      <c r="U4" s="350"/>
      <c r="V4" s="351"/>
      <c r="W4" s="351"/>
      <c r="X4" s="351"/>
      <c r="Y4" s="351"/>
      <c r="Z4" s="351"/>
      <c r="AA4" s="351"/>
      <c r="AB4" s="351"/>
      <c r="AC4" s="351"/>
      <c r="AD4" s="16"/>
    </row>
    <row r="5" spans="1:38" ht="6.75" customHeight="1" x14ac:dyDescent="0.35">
      <c r="B5" s="52"/>
      <c r="C5" s="61"/>
      <c r="D5" s="311"/>
      <c r="E5" s="497"/>
      <c r="F5" s="497"/>
      <c r="G5" s="497"/>
      <c r="H5" s="497"/>
      <c r="I5" s="497"/>
      <c r="J5" s="497"/>
      <c r="K5" s="497"/>
      <c r="L5" s="497"/>
      <c r="M5" s="497"/>
      <c r="N5" s="497"/>
      <c r="O5" s="497"/>
      <c r="P5" s="497"/>
      <c r="Q5" s="497"/>
      <c r="R5" s="497"/>
      <c r="S5" s="497"/>
      <c r="T5" s="497"/>
      <c r="U5" s="350"/>
      <c r="V5" s="351"/>
      <c r="W5" s="351"/>
      <c r="X5" s="351"/>
      <c r="Y5" s="351"/>
      <c r="Z5" s="351"/>
      <c r="AA5" s="351"/>
      <c r="AB5" s="351"/>
      <c r="AC5" s="351"/>
      <c r="AD5" s="16"/>
    </row>
    <row r="6" spans="1:38" ht="24.75" customHeight="1" x14ac:dyDescent="0.35">
      <c r="B6" s="52"/>
      <c r="C6" s="48"/>
      <c r="D6" s="250"/>
      <c r="E6" s="497"/>
      <c r="F6" s="497"/>
      <c r="G6" s="497"/>
      <c r="H6" s="497"/>
      <c r="I6" s="497"/>
      <c r="J6" s="497"/>
      <c r="K6" s="497"/>
      <c r="L6" s="497"/>
      <c r="M6" s="497"/>
      <c r="N6" s="497"/>
      <c r="O6" s="497"/>
      <c r="P6" s="497"/>
      <c r="Q6" s="497"/>
      <c r="R6" s="497"/>
      <c r="S6" s="497"/>
      <c r="T6" s="497"/>
      <c r="U6" s="350"/>
      <c r="V6" s="351"/>
      <c r="W6" s="351"/>
      <c r="X6" s="351"/>
      <c r="Y6" s="351"/>
      <c r="Z6" s="351"/>
      <c r="AA6" s="351"/>
      <c r="AB6" s="351"/>
      <c r="AC6" s="351"/>
      <c r="AD6" s="16"/>
    </row>
    <row r="7" spans="1:38" ht="21" customHeight="1" x14ac:dyDescent="0.35">
      <c r="B7" s="52"/>
      <c r="C7" s="48"/>
      <c r="D7" s="303"/>
      <c r="E7" s="312"/>
      <c r="F7" s="312"/>
      <c r="G7" s="312"/>
      <c r="H7" s="312"/>
      <c r="I7" s="312"/>
      <c r="J7" s="312"/>
      <c r="K7" s="312"/>
      <c r="L7" s="312"/>
      <c r="M7" s="312"/>
      <c r="N7" s="312"/>
      <c r="O7" s="312"/>
      <c r="P7" s="312"/>
      <c r="Q7" s="312"/>
      <c r="R7" s="312"/>
      <c r="S7" s="312"/>
      <c r="T7" s="312"/>
      <c r="U7" s="350"/>
      <c r="V7" s="351"/>
      <c r="W7" s="351"/>
      <c r="X7" s="351"/>
      <c r="Y7" s="351"/>
      <c r="Z7" s="351"/>
      <c r="AA7" s="351"/>
      <c r="AB7" s="351"/>
      <c r="AC7" s="351"/>
      <c r="AD7" s="16"/>
    </row>
    <row r="8" spans="1:38" ht="37.5" customHeight="1" x14ac:dyDescent="0.35">
      <c r="B8" s="52"/>
      <c r="C8" s="62"/>
      <c r="D8" s="250"/>
      <c r="E8" s="54" t="s">
        <v>5</v>
      </c>
      <c r="F8" s="447" t="s">
        <v>506</v>
      </c>
      <c r="G8" s="447"/>
      <c r="H8" s="447"/>
      <c r="I8" s="447"/>
      <c r="J8" s="447"/>
      <c r="K8" s="161" t="s">
        <v>2</v>
      </c>
      <c r="L8" s="161"/>
      <c r="M8" s="161" t="s">
        <v>3</v>
      </c>
      <c r="N8" s="249"/>
      <c r="O8" s="161"/>
      <c r="P8" s="161"/>
      <c r="Q8" s="161"/>
      <c r="R8" s="161"/>
      <c r="S8" s="161"/>
      <c r="T8" s="56"/>
      <c r="U8" s="350"/>
      <c r="V8" s="351"/>
      <c r="W8" s="351"/>
      <c r="X8" s="351"/>
      <c r="Y8" s="351"/>
      <c r="Z8" s="351"/>
      <c r="AA8" s="351"/>
      <c r="AB8" s="351"/>
      <c r="AC8" s="351"/>
      <c r="AD8" s="16"/>
    </row>
    <row r="9" spans="1:38" ht="4.5" customHeight="1" x14ac:dyDescent="0.35">
      <c r="B9" s="52"/>
      <c r="C9" s="48"/>
      <c r="D9" s="250"/>
      <c r="E9" s="56"/>
      <c r="F9" s="56"/>
      <c r="G9" s="56"/>
      <c r="H9" s="56"/>
      <c r="I9" s="56"/>
      <c r="J9" s="56"/>
      <c r="K9" s="56"/>
      <c r="L9" s="56"/>
      <c r="M9" s="56"/>
      <c r="N9" s="249"/>
      <c r="O9" s="56"/>
      <c r="P9" s="56"/>
      <c r="Q9" s="56"/>
      <c r="R9" s="56"/>
      <c r="S9" s="56"/>
      <c r="T9" s="56"/>
      <c r="U9" s="350"/>
      <c r="V9" s="351"/>
      <c r="W9" s="351"/>
      <c r="X9" s="351"/>
      <c r="Y9" s="351"/>
      <c r="Z9" s="351"/>
      <c r="AA9" s="351"/>
      <c r="AB9" s="351"/>
      <c r="AC9" s="351"/>
      <c r="AD9" s="16"/>
    </row>
    <row r="10" spans="1:38" ht="31" customHeight="1" x14ac:dyDescent="0.35">
      <c r="B10" s="52"/>
      <c r="C10" s="48"/>
      <c r="D10" s="250"/>
      <c r="E10" s="56"/>
      <c r="F10" s="44" t="s">
        <v>435</v>
      </c>
      <c r="G10" s="56"/>
      <c r="H10" s="56"/>
      <c r="I10" s="56"/>
      <c r="J10" s="56"/>
      <c r="K10" s="304">
        <f>IF('Stage 4'!O43&gt;0,'Stage 4'!O43,0)</f>
        <v>0</v>
      </c>
      <c r="L10" s="297"/>
      <c r="M10" s="272" t="s">
        <v>15</v>
      </c>
      <c r="N10" s="249"/>
      <c r="O10" s="272"/>
      <c r="P10" s="272"/>
      <c r="Q10" s="272"/>
      <c r="R10" s="272"/>
      <c r="S10" s="272"/>
      <c r="T10" s="56"/>
      <c r="U10" s="350"/>
      <c r="V10" s="351"/>
      <c r="W10" s="351"/>
      <c r="X10" s="351"/>
      <c r="Y10" s="351"/>
      <c r="Z10" s="351"/>
      <c r="AA10" s="351"/>
      <c r="AB10" s="351"/>
      <c r="AC10" s="351"/>
      <c r="AD10" s="16"/>
      <c r="AE10" s="16"/>
      <c r="AF10" s="16"/>
      <c r="AG10" s="16"/>
      <c r="AH10" s="16"/>
      <c r="AI10" s="16"/>
      <c r="AJ10" s="16"/>
      <c r="AK10" s="16"/>
      <c r="AL10" s="16"/>
    </row>
    <row r="11" spans="1:38" ht="23.5" customHeight="1" x14ac:dyDescent="0.35">
      <c r="B11" s="52"/>
      <c r="C11" s="48"/>
      <c r="D11" s="250"/>
      <c r="E11" s="56"/>
      <c r="F11" s="44" t="s">
        <v>434</v>
      </c>
      <c r="G11" s="56"/>
      <c r="H11" s="56"/>
      <c r="I11" s="56"/>
      <c r="J11" s="56"/>
      <c r="K11" s="304">
        <f>IF('Stage 4'!O44&gt;0,'Stage 4'!O44,0)</f>
        <v>0</v>
      </c>
      <c r="L11" s="297"/>
      <c r="M11" s="272" t="s">
        <v>15</v>
      </c>
      <c r="N11" s="249"/>
      <c r="O11" s="272"/>
      <c r="P11" s="272"/>
      <c r="Q11" s="272"/>
      <c r="R11" s="272"/>
      <c r="S11" s="272"/>
      <c r="T11" s="56"/>
      <c r="U11" s="350"/>
      <c r="V11" s="351"/>
      <c r="W11" s="351"/>
      <c r="X11" s="351"/>
      <c r="Y11" s="351"/>
      <c r="Z11" s="351"/>
      <c r="AA11" s="351"/>
      <c r="AB11" s="351"/>
      <c r="AC11" s="351"/>
      <c r="AD11" s="16"/>
      <c r="AE11" s="16"/>
      <c r="AF11" s="16"/>
      <c r="AG11" s="16"/>
      <c r="AH11" s="16"/>
      <c r="AI11" s="16"/>
      <c r="AJ11" s="16"/>
      <c r="AK11" s="16"/>
      <c r="AL11" s="16"/>
    </row>
    <row r="12" spans="1:38" ht="17.5" customHeight="1" thickBot="1" x14ac:dyDescent="0.4">
      <c r="B12" s="52"/>
      <c r="C12" s="48"/>
      <c r="D12" s="250"/>
      <c r="E12" s="56"/>
      <c r="F12" s="56"/>
      <c r="G12" s="56"/>
      <c r="H12" s="56"/>
      <c r="I12" s="56"/>
      <c r="J12" s="56"/>
      <c r="K12" s="56"/>
      <c r="L12" s="56"/>
      <c r="M12" s="56"/>
      <c r="N12" s="56"/>
      <c r="O12" s="56"/>
      <c r="P12" s="56"/>
      <c r="Q12" s="56"/>
      <c r="R12" s="274"/>
      <c r="S12" s="274"/>
      <c r="T12" s="274"/>
      <c r="U12" s="350"/>
      <c r="V12" s="352"/>
      <c r="W12" s="353"/>
      <c r="X12" s="353"/>
      <c r="Y12" s="353"/>
      <c r="Z12" s="353"/>
      <c r="AA12" s="353"/>
      <c r="AB12" s="353"/>
      <c r="AC12" s="353"/>
      <c r="AD12" s="16"/>
      <c r="AE12" s="16"/>
      <c r="AF12" s="16"/>
      <c r="AG12" s="16"/>
      <c r="AH12" s="16"/>
      <c r="AI12" s="16"/>
      <c r="AJ12" s="16"/>
      <c r="AK12" s="16"/>
      <c r="AL12" s="16"/>
    </row>
    <row r="13" spans="1:38" ht="7" customHeight="1" x14ac:dyDescent="0.35">
      <c r="B13" s="52"/>
      <c r="C13" s="48"/>
      <c r="D13" s="303"/>
      <c r="E13" s="286"/>
      <c r="F13" s="286"/>
      <c r="G13" s="286"/>
      <c r="H13" s="286"/>
      <c r="I13" s="286"/>
      <c r="J13" s="286"/>
      <c r="K13" s="286"/>
      <c r="L13" s="286"/>
      <c r="M13" s="286"/>
      <c r="N13" s="286"/>
      <c r="O13" s="286"/>
      <c r="P13" s="286"/>
      <c r="Q13" s="286"/>
      <c r="R13" s="56"/>
      <c r="S13" s="56"/>
      <c r="T13" s="56"/>
      <c r="U13" s="354"/>
      <c r="V13" s="355"/>
      <c r="W13" s="355"/>
      <c r="X13" s="355"/>
      <c r="Y13" s="355"/>
      <c r="Z13" s="355"/>
      <c r="AA13" s="355"/>
      <c r="AB13" s="355"/>
      <c r="AC13" s="356"/>
      <c r="AD13" s="14"/>
      <c r="AE13" s="16"/>
      <c r="AF13" s="16"/>
      <c r="AG13" s="16"/>
      <c r="AH13" s="16"/>
      <c r="AI13" s="16"/>
      <c r="AJ13" s="16"/>
      <c r="AK13" s="16"/>
      <c r="AL13" s="16"/>
    </row>
    <row r="14" spans="1:38" ht="16" customHeight="1" x14ac:dyDescent="0.35">
      <c r="B14" s="52"/>
      <c r="C14" s="48"/>
      <c r="D14" s="250"/>
      <c r="E14" s="54" t="s">
        <v>8</v>
      </c>
      <c r="F14" s="447" t="s">
        <v>65</v>
      </c>
      <c r="G14" s="447"/>
      <c r="H14" s="447"/>
      <c r="I14" s="447"/>
      <c r="J14" s="447"/>
      <c r="K14" s="262"/>
      <c r="L14" s="262"/>
      <c r="M14" s="262"/>
      <c r="N14" s="262"/>
      <c r="O14" s="262"/>
      <c r="P14" s="262"/>
      <c r="Q14" s="262"/>
      <c r="R14" s="262"/>
      <c r="S14" s="262"/>
      <c r="T14" s="262"/>
      <c r="U14" s="262"/>
      <c r="V14" s="262"/>
      <c r="W14" s="262"/>
      <c r="X14" s="262"/>
      <c r="Y14" s="262"/>
      <c r="Z14" s="262"/>
      <c r="AA14" s="262"/>
      <c r="AB14" s="262"/>
      <c r="AC14" s="357"/>
      <c r="AD14" s="14"/>
      <c r="AE14" s="16"/>
      <c r="AF14" s="16"/>
      <c r="AG14" s="16"/>
      <c r="AH14" s="16"/>
      <c r="AI14" s="16"/>
      <c r="AJ14" s="16"/>
      <c r="AK14" s="16"/>
      <c r="AL14" s="16"/>
    </row>
    <row r="15" spans="1:38" ht="10.5" customHeight="1" x14ac:dyDescent="0.35">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7"/>
      <c r="AD15" s="14"/>
      <c r="AE15" s="16"/>
      <c r="AF15" s="16"/>
      <c r="AG15" s="16"/>
      <c r="AH15" s="16"/>
      <c r="AI15" s="16"/>
      <c r="AJ15" s="16"/>
      <c r="AK15" s="16"/>
      <c r="AL15" s="16"/>
    </row>
    <row r="16" spans="1:38" ht="14.5" customHeight="1" x14ac:dyDescent="0.35">
      <c r="B16" s="52"/>
      <c r="C16" s="48"/>
      <c r="D16" s="250"/>
      <c r="E16" s="76" t="s">
        <v>58</v>
      </c>
      <c r="F16" s="56" t="s">
        <v>82</v>
      </c>
      <c r="G16" s="56"/>
      <c r="H16" s="56"/>
      <c r="I16" s="56"/>
      <c r="J16" s="56"/>
      <c r="K16" s="520" t="s">
        <v>62</v>
      </c>
      <c r="L16" s="520"/>
      <c r="M16" s="520"/>
      <c r="N16" s="76"/>
      <c r="O16" s="56"/>
      <c r="P16" s="285"/>
      <c r="Q16" s="56"/>
      <c r="R16" s="77" t="s">
        <v>59</v>
      </c>
      <c r="S16" s="77"/>
      <c r="T16" s="447" t="s">
        <v>83</v>
      </c>
      <c r="U16" s="447"/>
      <c r="V16" s="447"/>
      <c r="W16" s="447"/>
      <c r="X16" s="447"/>
      <c r="Y16" s="358" t="s">
        <v>62</v>
      </c>
      <c r="Z16" s="262"/>
      <c r="AA16" s="262"/>
      <c r="AB16" s="262"/>
      <c r="AC16" s="357"/>
      <c r="AD16" s="14"/>
      <c r="AE16" s="16"/>
      <c r="AF16" s="16"/>
      <c r="AG16" s="16"/>
      <c r="AH16" s="16"/>
      <c r="AI16" s="16"/>
      <c r="AJ16" s="16"/>
      <c r="AK16" s="16"/>
      <c r="AL16" s="16"/>
    </row>
    <row r="17" spans="2:53" ht="14.5" customHeight="1" x14ac:dyDescent="0.35">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7"/>
      <c r="AD17" s="14"/>
      <c r="AE17" s="16"/>
      <c r="AF17" s="16"/>
      <c r="AG17" s="16"/>
      <c r="AH17" s="16"/>
      <c r="AI17" s="16"/>
      <c r="AJ17" s="16"/>
      <c r="AK17" s="16"/>
      <c r="AL17" s="16"/>
    </row>
    <row r="18" spans="2:53" ht="45" customHeight="1" x14ac:dyDescent="0.35">
      <c r="B18" s="52"/>
      <c r="C18" s="48"/>
      <c r="D18" s="250"/>
      <c r="E18" s="519" t="s">
        <v>91</v>
      </c>
      <c r="F18" s="519"/>
      <c r="G18" s="519"/>
      <c r="H18" s="519"/>
      <c r="I18" s="519"/>
      <c r="J18" s="519"/>
      <c r="K18" s="519"/>
      <c r="L18" s="519"/>
      <c r="M18" s="519"/>
      <c r="N18" s="519"/>
      <c r="O18" s="519"/>
      <c r="P18" s="285"/>
      <c r="Q18" s="56"/>
      <c r="R18" s="56"/>
      <c r="S18" s="56"/>
      <c r="T18" s="521" t="s">
        <v>88</v>
      </c>
      <c r="U18" s="521"/>
      <c r="V18" s="521"/>
      <c r="W18" s="521"/>
      <c r="X18" s="521"/>
      <c r="Y18" s="521"/>
      <c r="Z18" s="521"/>
      <c r="AA18" s="359"/>
      <c r="AB18" s="359"/>
      <c r="AC18" s="357"/>
      <c r="AD18" s="14"/>
      <c r="AE18" s="16"/>
      <c r="AF18" s="16"/>
      <c r="AG18" s="16"/>
      <c r="AH18" s="16"/>
      <c r="AI18" s="16"/>
      <c r="AJ18" s="16"/>
      <c r="AK18" s="16"/>
      <c r="AL18" s="16"/>
    </row>
    <row r="19" spans="2:53" ht="14.5" customHeight="1" x14ac:dyDescent="0.35">
      <c r="B19" s="52"/>
      <c r="C19" s="48"/>
      <c r="D19" s="250"/>
      <c r="E19" s="56"/>
      <c r="F19" s="56"/>
      <c r="G19" s="56"/>
      <c r="H19" s="56"/>
      <c r="I19" s="56"/>
      <c r="J19" s="56"/>
      <c r="K19" s="56"/>
      <c r="L19" s="56"/>
      <c r="M19" s="56"/>
      <c r="N19" s="56"/>
      <c r="O19" s="56"/>
      <c r="P19" s="285"/>
      <c r="Q19" s="56"/>
      <c r="R19" s="56"/>
      <c r="S19" s="56"/>
      <c r="T19" s="447" t="s">
        <v>87</v>
      </c>
      <c r="U19" s="447"/>
      <c r="V19" s="447"/>
      <c r="W19" s="447"/>
      <c r="X19" s="447"/>
      <c r="Y19" s="447"/>
      <c r="Z19" s="447"/>
      <c r="AA19" s="262"/>
      <c r="AB19" s="262"/>
      <c r="AC19" s="357"/>
      <c r="AD19" s="14"/>
      <c r="AE19" s="16"/>
      <c r="AF19" s="16"/>
      <c r="AG19" s="16"/>
      <c r="AH19" s="16"/>
      <c r="AI19" s="16"/>
      <c r="AJ19" s="16"/>
      <c r="AK19" s="16"/>
      <c r="AL19" s="16"/>
    </row>
    <row r="20" spans="2:53" ht="16" customHeight="1" x14ac:dyDescent="0.35">
      <c r="B20" s="52"/>
      <c r="C20" s="48"/>
      <c r="D20" s="250"/>
      <c r="E20" s="76"/>
      <c r="F20" s="496" t="s">
        <v>137</v>
      </c>
      <c r="G20" s="496"/>
      <c r="H20" s="496"/>
      <c r="I20" s="496"/>
      <c r="J20" s="496"/>
      <c r="K20" s="161" t="s">
        <v>2</v>
      </c>
      <c r="L20" s="161"/>
      <c r="M20" s="161"/>
      <c r="N20" s="76"/>
      <c r="O20" s="161" t="s">
        <v>3</v>
      </c>
      <c r="P20" s="285"/>
      <c r="Q20" s="56"/>
      <c r="R20" s="56"/>
      <c r="S20" s="56"/>
      <c r="T20" s="249"/>
      <c r="U20" s="249"/>
      <c r="V20" s="249"/>
      <c r="W20" s="249"/>
      <c r="X20" s="249"/>
      <c r="Y20" s="249"/>
      <c r="Z20" s="249"/>
      <c r="AA20" s="159"/>
      <c r="AB20" s="159"/>
      <c r="AC20" s="357"/>
      <c r="AD20" s="14"/>
      <c r="AE20" s="16"/>
      <c r="AF20" s="16"/>
      <c r="AG20" s="16"/>
      <c r="AH20" s="16"/>
      <c r="AI20" s="16"/>
      <c r="AJ20" s="16"/>
      <c r="AK20" s="16"/>
      <c r="AL20" s="16"/>
    </row>
    <row r="21" spans="2:53" ht="13.5" customHeight="1" x14ac:dyDescent="0.35">
      <c r="B21" s="52"/>
      <c r="C21" s="48"/>
      <c r="D21" s="250"/>
      <c r="E21" s="56"/>
      <c r="F21" s="56"/>
      <c r="G21" s="56"/>
      <c r="H21" s="56"/>
      <c r="I21" s="56"/>
      <c r="J21" s="56"/>
      <c r="K21" s="161" t="s">
        <v>436</v>
      </c>
      <c r="L21" s="161"/>
      <c r="M21" s="161" t="s">
        <v>437</v>
      </c>
      <c r="N21" s="262"/>
      <c r="O21" s="56"/>
      <c r="P21" s="285"/>
      <c r="Q21" s="56"/>
      <c r="R21" s="56"/>
      <c r="S21" s="56"/>
      <c r="T21" s="447" t="s">
        <v>380</v>
      </c>
      <c r="U21" s="447"/>
      <c r="V21" s="447"/>
      <c r="W21" s="447"/>
      <c r="X21" s="447"/>
      <c r="Y21" s="263" t="s">
        <v>385</v>
      </c>
      <c r="Z21" s="262"/>
      <c r="AA21" s="262"/>
      <c r="AB21" s="262"/>
      <c r="AC21" s="357"/>
      <c r="AD21" s="14"/>
      <c r="AE21" s="16"/>
      <c r="AF21" s="16"/>
      <c r="AG21" s="16"/>
      <c r="AH21" s="16"/>
      <c r="AI21" s="16"/>
      <c r="AJ21" s="16"/>
      <c r="AK21" s="16"/>
      <c r="AL21" s="16"/>
    </row>
    <row r="22" spans="2:53" ht="41.15" customHeight="1" x14ac:dyDescent="0.35">
      <c r="B22" s="52"/>
      <c r="C22" s="48"/>
      <c r="D22" s="250"/>
      <c r="E22" s="56"/>
      <c r="F22" s="495" t="s">
        <v>85</v>
      </c>
      <c r="G22" s="495"/>
      <c r="H22" s="495"/>
      <c r="I22" s="495"/>
      <c r="J22" s="495"/>
      <c r="K22" s="304" t="e">
        <f>'Stage 2'!K46/'Stage 2'!K41</f>
        <v>#DIV/0!</v>
      </c>
      <c r="L22" s="297"/>
      <c r="M22" s="304" t="e">
        <f>'Stage 2'!K48/'Stage 2'!K41</f>
        <v>#DIV/0!</v>
      </c>
      <c r="N22" s="358" t="s">
        <v>62</v>
      </c>
      <c r="O22" s="272" t="s">
        <v>81</v>
      </c>
      <c r="P22" s="285"/>
      <c r="Q22" s="56"/>
      <c r="R22" s="54"/>
      <c r="S22" s="54"/>
      <c r="T22" s="447" t="s">
        <v>379</v>
      </c>
      <c r="U22" s="447"/>
      <c r="V22" s="447"/>
      <c r="W22" s="447"/>
      <c r="X22" s="447"/>
      <c r="Y22" s="284" t="s">
        <v>384</v>
      </c>
      <c r="Z22" s="56"/>
      <c r="AA22" s="159"/>
      <c r="AB22" s="159"/>
      <c r="AC22" s="357"/>
      <c r="AD22" s="14"/>
      <c r="AE22" s="16"/>
      <c r="AF22" s="16"/>
      <c r="AG22" s="16"/>
      <c r="AH22" s="16"/>
      <c r="AI22" s="16"/>
      <c r="AJ22" s="16"/>
      <c r="AK22" s="16"/>
      <c r="AL22" s="16"/>
    </row>
    <row r="23" spans="2:53" ht="16" customHeight="1" x14ac:dyDescent="0.35">
      <c r="B23" s="52"/>
      <c r="C23" s="48"/>
      <c r="D23" s="250"/>
      <c r="E23" s="56"/>
      <c r="F23" s="163"/>
      <c r="G23" s="163"/>
      <c r="H23" s="163"/>
      <c r="I23" s="163"/>
      <c r="J23" s="163"/>
      <c r="K23" s="297"/>
      <c r="L23" s="297"/>
      <c r="M23" s="297"/>
      <c r="N23" s="360"/>
      <c r="O23" s="272"/>
      <c r="P23" s="285"/>
      <c r="Q23" s="56"/>
      <c r="R23" s="54"/>
      <c r="S23" s="54"/>
      <c r="T23" s="447" t="s">
        <v>383</v>
      </c>
      <c r="U23" s="447"/>
      <c r="V23" s="447"/>
      <c r="W23" s="447"/>
      <c r="X23" s="447"/>
      <c r="Y23" s="263" t="s">
        <v>476</v>
      </c>
      <c r="Z23" s="159"/>
      <c r="AA23" s="159"/>
      <c r="AB23" s="159"/>
      <c r="AC23" s="357"/>
      <c r="AD23" s="14"/>
      <c r="AE23" s="16"/>
      <c r="AF23" s="16"/>
      <c r="AG23" s="16"/>
      <c r="AH23" s="16"/>
      <c r="AI23" s="16"/>
      <c r="AJ23" s="16"/>
      <c r="AK23" s="16"/>
      <c r="AL23" s="16"/>
    </row>
    <row r="24" spans="2:53" ht="16" customHeight="1" x14ac:dyDescent="0.35">
      <c r="B24" s="52"/>
      <c r="C24" s="48"/>
      <c r="D24" s="250"/>
      <c r="E24" s="56"/>
      <c r="F24" s="163"/>
      <c r="G24" s="163"/>
      <c r="H24" s="163"/>
      <c r="I24" s="163"/>
      <c r="J24" s="163"/>
      <c r="K24" s="297"/>
      <c r="L24" s="297"/>
      <c r="M24" s="297"/>
      <c r="N24" s="360"/>
      <c r="O24" s="272"/>
      <c r="P24" s="285"/>
      <c r="Q24" s="56"/>
      <c r="R24" s="54"/>
      <c r="S24" s="54"/>
      <c r="T24" s="447" t="s">
        <v>381</v>
      </c>
      <c r="U24" s="447"/>
      <c r="V24" s="447"/>
      <c r="W24" s="447"/>
      <c r="X24" s="447"/>
      <c r="Y24" s="263" t="s">
        <v>13</v>
      </c>
      <c r="Z24" s="159"/>
      <c r="AA24" s="159"/>
      <c r="AB24" s="159"/>
      <c r="AC24" s="357"/>
      <c r="AD24" s="14"/>
      <c r="AE24" s="16"/>
      <c r="AF24" s="16"/>
      <c r="AG24" s="16"/>
      <c r="AH24" s="16"/>
      <c r="AI24" s="16"/>
      <c r="AJ24" s="16"/>
      <c r="AK24" s="16"/>
      <c r="AL24" s="16"/>
    </row>
    <row r="25" spans="2:53" ht="20" customHeight="1" x14ac:dyDescent="0.35">
      <c r="B25" s="52"/>
      <c r="C25" s="48"/>
      <c r="D25" s="250"/>
      <c r="E25" s="56"/>
      <c r="F25" s="44"/>
      <c r="G25" s="56"/>
      <c r="H25" s="56"/>
      <c r="I25" s="56"/>
      <c r="J25" s="56"/>
      <c r="K25" s="297"/>
      <c r="L25" s="297"/>
      <c r="M25" s="297"/>
      <c r="N25" s="361"/>
      <c r="O25" s="272"/>
      <c r="P25" s="285"/>
      <c r="Q25" s="56"/>
      <c r="R25" s="522"/>
      <c r="S25" s="522"/>
      <c r="T25" s="522"/>
      <c r="U25" s="522"/>
      <c r="V25" s="522"/>
      <c r="W25" s="522"/>
      <c r="X25" s="522"/>
      <c r="Y25" s="522"/>
      <c r="Z25" s="522"/>
      <c r="AA25" s="522"/>
      <c r="AB25" s="522"/>
      <c r="AC25" s="523"/>
      <c r="AD25" s="14"/>
      <c r="AE25" s="16"/>
      <c r="AF25" s="16"/>
      <c r="AG25" s="16"/>
      <c r="AH25" s="16"/>
      <c r="AI25" s="16"/>
      <c r="AJ25" s="16"/>
      <c r="AK25" s="16"/>
      <c r="AL25" s="16"/>
    </row>
    <row r="26" spans="2:53" ht="24" customHeight="1" x14ac:dyDescent="0.35">
      <c r="B26" s="52"/>
      <c r="C26" s="48"/>
      <c r="D26" s="250"/>
      <c r="E26" s="56"/>
      <c r="F26" s="495" t="s">
        <v>84</v>
      </c>
      <c r="G26" s="495"/>
      <c r="H26" s="495"/>
      <c r="I26" s="495"/>
      <c r="J26" s="495"/>
      <c r="K26" s="161" t="s">
        <v>436</v>
      </c>
      <c r="L26" s="161"/>
      <c r="M26" s="161" t="s">
        <v>437</v>
      </c>
      <c r="N26" s="362"/>
      <c r="O26" s="272"/>
      <c r="P26" s="285"/>
      <c r="Q26" s="56"/>
      <c r="R26" s="262"/>
      <c r="S26" s="262"/>
      <c r="T26" s="495" t="s">
        <v>86</v>
      </c>
      <c r="U26" s="495"/>
      <c r="V26" s="495"/>
      <c r="W26" s="495"/>
      <c r="X26" s="495"/>
      <c r="Y26" s="262"/>
      <c r="Z26" s="262"/>
      <c r="AA26" s="313" t="s">
        <v>396</v>
      </c>
      <c r="AB26" s="313" t="s">
        <v>397</v>
      </c>
      <c r="AC26" s="357"/>
      <c r="AD26" s="14"/>
      <c r="AE26" s="16"/>
      <c r="AG26" s="16"/>
      <c r="AI26" s="16"/>
      <c r="AK26" s="16"/>
      <c r="AO26" s="16"/>
      <c r="AP26" s="128"/>
      <c r="AQ26" s="16"/>
    </row>
    <row r="27" spans="2:53" ht="16" customHeight="1" x14ac:dyDescent="0.35">
      <c r="B27" s="52"/>
      <c r="C27" s="48"/>
      <c r="D27" s="250"/>
      <c r="E27" s="518" t="str">
        <f>'Stage 2'!F22</f>
        <v>High density residential</v>
      </c>
      <c r="F27" s="518"/>
      <c r="G27" s="518"/>
      <c r="H27" s="518"/>
      <c r="I27" s="518"/>
      <c r="J27" s="56"/>
      <c r="K27" s="363" t="str">
        <f>IF('Stage 2'!$K22&gt;0,'Stage 2'!O22/'Stage 2'!$K22,"")</f>
        <v/>
      </c>
      <c r="L27" s="297"/>
      <c r="M27" s="304" t="str">
        <f>IF('Stage 2'!$K22&gt;0,'Stage 2'!Q22/'Stage 2'!$K22,"")</f>
        <v/>
      </c>
      <c r="N27" s="358" t="s">
        <v>62</v>
      </c>
      <c r="O27" s="265" t="s">
        <v>81</v>
      </c>
      <c r="P27" s="285"/>
      <c r="Q27" s="56"/>
      <c r="R27" s="262"/>
      <c r="S27" s="262"/>
      <c r="T27" s="518" t="str">
        <f t="shared" ref="T27:T44" si="0">E27</f>
        <v>High density residential</v>
      </c>
      <c r="U27" s="518"/>
      <c r="V27" s="518"/>
      <c r="W27" s="518"/>
      <c r="X27" s="518"/>
      <c r="Y27" s="358" t="s">
        <v>62</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7"/>
      <c r="AD27" s="14"/>
      <c r="AO27" s="128"/>
      <c r="AP27" s="16"/>
      <c r="AQ27" s="128"/>
    </row>
    <row r="28" spans="2:53" ht="16" customHeight="1" x14ac:dyDescent="0.35">
      <c r="B28" s="52"/>
      <c r="C28" s="48"/>
      <c r="D28" s="250"/>
      <c r="E28" s="518" t="str">
        <f>'Stage 2'!F23</f>
        <v>Medium density residential</v>
      </c>
      <c r="F28" s="518"/>
      <c r="G28" s="518"/>
      <c r="H28" s="518"/>
      <c r="I28" s="518"/>
      <c r="J28" s="56"/>
      <c r="K28" s="363" t="str">
        <f>IF('Stage 2'!$K23&gt;0,'Stage 2'!O23/'Stage 2'!$K23,"")</f>
        <v/>
      </c>
      <c r="L28" s="297"/>
      <c r="M28" s="304" t="str">
        <f>IF('Stage 2'!$K23&gt;0,'Stage 2'!Q23/'Stage 2'!$K23,"")</f>
        <v/>
      </c>
      <c r="N28" s="358" t="s">
        <v>62</v>
      </c>
      <c r="O28" s="265" t="s">
        <v>81</v>
      </c>
      <c r="P28" s="285"/>
      <c r="Q28" s="56"/>
      <c r="R28" s="262"/>
      <c r="S28" s="262"/>
      <c r="T28" s="518" t="str">
        <f t="shared" si="0"/>
        <v>Medium density residential</v>
      </c>
      <c r="U28" s="518"/>
      <c r="V28" s="518"/>
      <c r="W28" s="518"/>
      <c r="X28" s="518"/>
      <c r="Y28" s="358" t="s">
        <v>62</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7"/>
      <c r="AD28" s="14"/>
      <c r="AG28" s="16"/>
      <c r="AH28" s="16"/>
      <c r="AI28" s="16"/>
      <c r="AJ28" s="16"/>
      <c r="AK28" s="16"/>
      <c r="AL28" s="16"/>
      <c r="AO28" s="16"/>
      <c r="AP28" s="16"/>
      <c r="AQ28" s="16"/>
    </row>
    <row r="29" spans="2:53" ht="16" customHeight="1" x14ac:dyDescent="0.35">
      <c r="B29" s="52"/>
      <c r="C29" s="48"/>
      <c r="D29" s="250"/>
      <c r="E29" s="518" t="str">
        <f>'Stage 2'!F24</f>
        <v>Low density residential</v>
      </c>
      <c r="F29" s="518"/>
      <c r="G29" s="518"/>
      <c r="H29" s="518"/>
      <c r="I29" s="518"/>
      <c r="J29" s="56"/>
      <c r="K29" s="363" t="str">
        <f>IF('Stage 2'!$K24&gt;0,'Stage 2'!O24/'Stage 2'!$K24,"")</f>
        <v/>
      </c>
      <c r="L29" s="297"/>
      <c r="M29" s="304" t="str">
        <f>IF('Stage 2'!$K24&gt;0,'Stage 2'!Q24/'Stage 2'!$K24,"")</f>
        <v/>
      </c>
      <c r="N29" s="358" t="s">
        <v>62</v>
      </c>
      <c r="O29" s="265" t="s">
        <v>81</v>
      </c>
      <c r="P29" s="285"/>
      <c r="Q29" s="56"/>
      <c r="R29" s="262"/>
      <c r="S29" s="262"/>
      <c r="T29" s="518" t="str">
        <f t="shared" si="0"/>
        <v>Low density residential</v>
      </c>
      <c r="U29" s="518"/>
      <c r="V29" s="518"/>
      <c r="W29" s="518"/>
      <c r="X29" s="518"/>
      <c r="Y29" s="358" t="s">
        <v>62</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7"/>
      <c r="AD29" s="14"/>
      <c r="AG29" s="16"/>
      <c r="AH29" s="16"/>
      <c r="AI29" s="16"/>
      <c r="AJ29" s="16"/>
      <c r="AK29" s="16"/>
      <c r="AL29" s="16"/>
      <c r="AO29" s="16"/>
      <c r="AP29" s="16"/>
      <c r="AQ29" s="16"/>
    </row>
    <row r="30" spans="2:53" ht="16" customHeight="1" x14ac:dyDescent="0.35">
      <c r="B30" s="52"/>
      <c r="C30" s="48"/>
      <c r="D30" s="250"/>
      <c r="E30" s="518" t="str">
        <f>'Stage 2'!F25</f>
        <v>Commercial / Industrial</v>
      </c>
      <c r="F30" s="518"/>
      <c r="G30" s="518"/>
      <c r="H30" s="518"/>
      <c r="I30" s="518"/>
      <c r="J30" s="56"/>
      <c r="K30" s="363" t="str">
        <f>IF('Stage 2'!$K25&gt;0,'Stage 2'!O25/'Stage 2'!$K25,"")</f>
        <v/>
      </c>
      <c r="L30" s="297"/>
      <c r="M30" s="304" t="str">
        <f>IF('Stage 2'!$K25&gt;0,'Stage 2'!Q25/'Stage 2'!$K25,"")</f>
        <v/>
      </c>
      <c r="N30" s="358" t="s">
        <v>62</v>
      </c>
      <c r="O30" s="265" t="s">
        <v>81</v>
      </c>
      <c r="P30" s="285"/>
      <c r="Q30" s="56"/>
      <c r="R30" s="262"/>
      <c r="S30" s="262"/>
      <c r="T30" s="518" t="str">
        <f t="shared" si="0"/>
        <v>Commercial / Industrial</v>
      </c>
      <c r="U30" s="518"/>
      <c r="V30" s="518"/>
      <c r="W30" s="518"/>
      <c r="X30" s="518"/>
      <c r="Y30" s="358" t="s">
        <v>62</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7"/>
      <c r="AD30" s="14"/>
      <c r="AG30" s="16"/>
      <c r="AH30" s="16"/>
      <c r="AI30" s="16"/>
      <c r="AJ30" s="16"/>
      <c r="AK30" s="16"/>
      <c r="AL30" s="16"/>
    </row>
    <row r="31" spans="2:53" ht="16" customHeight="1" x14ac:dyDescent="0.35">
      <c r="B31" s="52"/>
      <c r="C31" s="48"/>
      <c r="D31" s="250"/>
      <c r="E31" s="518" t="str">
        <f>'Stage 2'!F26</f>
        <v>Urban open space</v>
      </c>
      <c r="F31" s="518"/>
      <c r="G31" s="518"/>
      <c r="H31" s="518"/>
      <c r="I31" s="518"/>
      <c r="J31" s="56"/>
      <c r="K31" s="363" t="str">
        <f>IF('Stage 2'!$K26&gt;0,'Stage 2'!O26/'Stage 2'!$K26,"")</f>
        <v/>
      </c>
      <c r="L31" s="297"/>
      <c r="M31" s="304" t="str">
        <f>IF('Stage 2'!$K26&gt;0,'Stage 2'!Q26/'Stage 2'!$K26,"")</f>
        <v/>
      </c>
      <c r="N31" s="358" t="s">
        <v>62</v>
      </c>
      <c r="O31" s="265" t="s">
        <v>81</v>
      </c>
      <c r="P31" s="285"/>
      <c r="Q31" s="56"/>
      <c r="R31" s="262"/>
      <c r="S31" s="262"/>
      <c r="T31" s="518" t="str">
        <f t="shared" si="0"/>
        <v>Urban open space</v>
      </c>
      <c r="U31" s="518"/>
      <c r="V31" s="518"/>
      <c r="W31" s="518"/>
      <c r="X31" s="518"/>
      <c r="Y31" s="358" t="s">
        <v>62</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7"/>
      <c r="AD31" s="14"/>
      <c r="AG31" s="16"/>
      <c r="AH31" s="16"/>
      <c r="AI31" s="16"/>
      <c r="AJ31" s="16"/>
      <c r="AK31" s="16"/>
      <c r="AL31" s="16"/>
    </row>
    <row r="32" spans="2:53" ht="16" customHeight="1" x14ac:dyDescent="0.35">
      <c r="B32" s="52"/>
      <c r="C32" s="48"/>
      <c r="D32" s="250"/>
      <c r="E32" s="518" t="str">
        <f>'Stage 2'!F27</f>
        <v>Dairy</v>
      </c>
      <c r="F32" s="518"/>
      <c r="G32" s="518"/>
      <c r="H32" s="518"/>
      <c r="I32" s="518"/>
      <c r="J32" s="56"/>
      <c r="K32" s="363" t="str">
        <f>IF('Stage 2'!$K27&gt;0,'Stage 2'!O27/'Stage 2'!$K27,"")</f>
        <v/>
      </c>
      <c r="L32" s="364"/>
      <c r="M32" s="304" t="str">
        <f>IF('Stage 2'!$K27&gt;0,'Stage 2'!Q27/'Stage 2'!$K27,"")</f>
        <v/>
      </c>
      <c r="N32" s="358" t="s">
        <v>62</v>
      </c>
      <c r="O32" s="265" t="s">
        <v>81</v>
      </c>
      <c r="P32" s="285"/>
      <c r="Q32" s="56"/>
      <c r="R32" s="262"/>
      <c r="S32" s="262"/>
      <c r="T32" s="518" t="str">
        <f t="shared" si="0"/>
        <v>Dairy</v>
      </c>
      <c r="U32" s="518"/>
      <c r="V32" s="518"/>
      <c r="W32" s="518"/>
      <c r="X32" s="518"/>
      <c r="Y32" s="358" t="s">
        <v>62</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Tables'!AM5,'Data Tables'!AN5),IF($Y$23="575-600",IF($Y$24="Yes",'Data Tables'!AM5,'Data Tables'!AN5),IF($Y$23="600-625",IF($Y$24="Yes",'Data Tables'!AM5,'Data Tables'!AN5),IF($Y$23="625-650",IF($Y$24="Yes",'Data Tables'!AM5,'Data Tables'!AN5),IF($Y$23="650-675",IF($Y$24="Yes",'Data Tables'!AM5,'Data Tables'!AN5),IF($Y$23="675-700",IF($Y$24="Yes",'Data Tables'!AM5,'Data Tables'!AN5),IF($Y$23="700-750",IF($Y$24="Yes",'Data Tables'!AS5,'Data Tables'!AT5),IF($Y$23="750-800",IF($Y$24="Yes",'Data Tables'!AS5,'Data Tables'!AT5),IF($Y$23="800-850",IF($Y$24="Yes",'Data Tables'!AS5,'Data Tables'!AT5),IF($Y$24="Yes",'Data Tables'!AS5,'Data Tables'!AT5)))))))))),IF($Y$22="Impermeable - drained for arable",IF($Y$23="550-575",IF($Y$24="Yes",'Data Tables'!AO5,'Data Tables'!AP5),IF($Y$23="575-600",IF($Y$24="Yes",'Data Tables'!AO5,'Data Tables'!AP5),IF($Y$23="600-625",IF($Y$24="Yes",'Data Tables'!AO5,'Data Tables'!AP5),IF($Y$23="625-650",IF($Y$24="Yes",'Data Tables'!AO5,'Data Tables'!AP5),IF($Y$23="650-675",IF($Y$24="Yes",'Data Tables'!AO5,'Data Tables'!AP5),IF($Y$23="675-700",IF($Y$24="Yes",'Data Tables'!AO5,'Data Tables'!AP5),IF($Y$23="700-750",IF($Y$24="Yes",'Data Tables'!AU5,'Data Tables'!AV5),IF($Y$23="750-800",IF($Y$24="Yes",'Data Tables'!AU5,'Data Tables'!AV5),IF($Y$23="800-850",IF($Y$24="Yes",'Data Tables'!AU5,'Data Tables'!AV5),IF($Y$24="Yes",'Data Tables'!AU5,'Data Tables'!AV5)))))))))),IF($Y$23="550-575",IF($Y$24="Yes",'Data Tables'!AQ5,'Data Tables'!AR5),IF($Y$23="575-600",IF($Y$24="Yes",'Data Tables'!AQ5,'Data Tables'!AR5),IF($Y$23="600-625",IF($Y$24="Yes",'Data Tables'!AQ5,'Data Tables'!AR5),IF($Y$23="625-650",IF($Y$24="Yes",'Data Tables'!AQ5,'Data Tables'!AR5),IF($Y$23="650-675",IF($Y$24="Yes",'Data Tables'!AQ5,'Data Tables'!AR5),IF($Y$23="675-700",IF($Y$24="Yes",'Data Tables'!AQ5,'Data Tables'!AR5),IF($Y$23="700-750",IF($Y$24="Yes",'Data Tables'!AW5,'Data Tables'!AX5),IF($Y$23="750-800",IF($Y$24="Yes",'Data Tables'!AW5,'Data Tables'!AX5),IF($Y$23="800-850",IF($Y$24="Yes",'Data Tables'!AW5,'Data Tables'!AX5),IF($Y$24="Yes",'Data Tables'!AW5,'Data Tables'!AX5))))))))))))),IF($Y$21="Yare",(IF($Y$22="Freely draining",IF($Y$23="550-575",IF($Y$24="Yes",'Data Tables'!AM16,'Data Tables'!AN16),IF($Y$23="575-600",IF($Y$24="Yes",'Data Tables'!AM16,'Data Tables'!AN16),IF($Y$23="600-625",IF($Y$24="Yes",'Data Tables'!AM16,'Data Tables'!AN16),IF($Y$23="625-650",IF($Y$24="Yes",'Data Tables'!AM16,'Data Tables'!AN16),IF($Y$23="650-675",IF($Y$24="Yes",'Data Tables'!AM16,'Data Tables'!AN16),IF($Y$23="675-700",IF($Y$24="Yes",'Data Tables'!AM16,'Data Tables'!AN16),IF($Y$23="700-750",IF($Y$24="Yes",'Data Tables'!AS16,'Data Tables'!AT16),IF($Y$23="750-800",IF($Y$24="Yes",'Data Tables'!AS16,'Data Tables'!AT16),IF($Y$23="800-850",IF($Y$24="Yes",'Data Tables'!AS16,'Data Tables'!AT16),IF($Y$24="Yes",'Data Tables'!AS16,'Data Tables'!AT16)))))))))),IF($Y$22="Impermeable - drained for arable",IF($Y$23="550-575",IF($Y$24="Yes",'Data Tables'!AO16,'Data Tables'!AP16),IF($Y$23="575-600",IF($Y$24="Yes",'Data Tables'!AO16,'Data Tables'!AP16),IF($Y$23="600-625",IF($Y$24="Yes",'Data Tables'!AO16,'Data Tables'!AP16),IF($Y$23="625-650",IF($Y$24="Yes",'Data Tables'!AO16,'Data Tables'!AP16),IF($Y$23="650-675",IF($Y$24="Yes",'Data Tables'!AO16,'Data Tables'!AP16),IF($Y$23="675-700",IF($Y$24="Yes",'Data Tables'!AO16,'Data Tables'!AP16),IF($Y$23="700-750",IF($Y$24="Yes",'Data Tables'!AU16,'Data Tables'!AV16),IF($Y$23="750-800",IF($Y$24="Yes",'Data Tables'!AU16,'Data Tables'!AV16),IF($Y$23="800-850",IF($Y$24="Yes",'Data Tables'!AU16,'Data Tables'!AV16),IF($Y$24="Yes",'Data Tables'!AU16,'Data Tables'!AV16)))))))))),IF($Y$23="550-575",IF($Y$24="Yes",'Data Tables'!AQ16,'Data Tables'!AR16),IF($Y$23="575-600",IF($Y$24="Yes",'Data Tables'!AQ16,'Data Tables'!AR16),IF($Y$23="600-625",IF($Y$24="Yes",'Data Tables'!AQ16,'Data Tables'!AR16),IF($Y$23="625-650",IF($Y$24="Yes",'Data Tables'!AQ16,'Data Tables'!AR16),IF($Y$23="650-675",IF($Y$24="Yes",'Data Tables'!AQ16,'Data Tables'!AR16),IF($Y$23="675-700",IF($Y$24="Yes",'Data Tables'!AQ16,'Data Tables'!AR16),IF($Y$23="700-750",IF($Y$24="Yes",'Data Tables'!AW16,'Data Tables'!AX16),IF($Y$23="750-800",IF($Y$24="Yes",'Data Tables'!AW16,'Data Tables'!AX16),IF($Y$23="800-850",IF($Y$24="Yes",'Data Tables'!AW16,'Data Tables'!AX16),IF($Y$24="Yes",'Data Tables'!AW16,'Data Tables'!AX16))))))))))))),(IF($Y$22="Freely draining",IF($Y$23="550-575",IF($Y$24="Yes",'Data Tables'!AG27,'Data Tables'!AH27),IF($Y$23="575-600",IF($Y$24="Yes",'Data Tables'!AG27,'Data Tables'!AH27),IF($Y$23="600-625",IF($Y$24="Yes",'Data Tables'!AM27,'Data Tables'!AN27),IF($Y$23="625-650",IF($Y$24="Yes",'Data Tables'!AM27,'Data Tables'!AN27),IF($Y$23="650-675",IF($Y$24="Yes",'Data Tables'!AM27,'Data Tables'!AN27),IF($Y$23="675-700",IF($Y$24="Yes",'Data Tables'!AM27,'Data Tables'!AN27),IF($Y$23="700-750",IF($Y$24="Yes",'Data Tables'!AS27,'Data Tables'!AT27),IF($Y$23="750-800",IF($Y$24="Yes",'Data Tables'!AS27,'Data Tables'!AT27),IF($Y$23="800-850",IF($Y$24="Yes",'Data Tables'!AS27,'Data Tables'!AT27),IF($Y$24="Yes",'Data Tables'!AS27,'Data Tables'!AT27)))))))))),IF($Y$22="Impermeable - drained for arable",IF($Y$23="550-575",IF($Y$24="Yes",'Data Tables'!AI27,'Data Tables'!AJ27),IF($Y$23="575-600",IF($Y$24="Yes",'Data Tables'!AI27,'Data Tables'!AJ27),IF($Y$23="600-625",IF($Y$24="Yes",'Data Tables'!AO27,'Data Tables'!AP27),IF($Y$23="625-650",IF($Y$24="Yes",'Data Tables'!AO27,'Data Tables'!AP27),IF($Y$23="650-675",IF($Y$24="Yes",'Data Tables'!AO27,'Data Tables'!AP27),IF($Y$23="675-700",IF($Y$24="Yes",'Data Tables'!AO27,'Data Tables'!AP27),IF($Y$23="700-750",IF($Y$24="Yes",'Data Tables'!AU27,'Data Tables'!AV27),IF($Y$23="750-800",IF($Y$24="Yes",'Data Tables'!AU27,'Data Tables'!AV27),IF($Y$23="800-850",IF($Y$24="Yes",'Data Tables'!AU27,'Data Tables'!AV27),IF($Y$24="Yes",'Data Tables'!AU27,'Data Tables'!AV27)))))))))),IF($Y$23="550-575",IF($Y$24="Yes",'Data Tables'!AK27,'Data Tables'!AL27),IF($Y$23="575-600",IF($Y$24="Yes",'Data Tables'!AK27,'Data Tables'!AL27),IF($Y$23="600-625",IF($Y$24="Yes",'Data Tables'!AQ27,'Data Tables'!AR27),IF($Y$23="625-650",IF($Y$24="Yes",'Data Tables'!AQ27,'Data Tables'!AR27),IF($Y$23="650-675",IF($Y$24="Yes",'Data Tables'!AQ27,'Data Tables'!AR27),IF($Y$23="675-700",IF($Y$24="Yes",'Data Tables'!AQ27,'Data Tables'!AR27),IF($Y$23="700-750",IF($Y$24="Yes",'Data Tables'!AW27,'Data Tables'!AX27),IF($Y$23="750-800",IF($Y$24="Yes",'Data Tables'!AW27,'Data Tables'!AX27),IF($Y$23="800-850",IF($Y$24="Yes",'Data Tables'!AW27,'Data Tables'!AX27),IF($Y$24="Yes",'Data Tables'!AW27,'Data Tables'!AX27))))))))))))))),0),"")</f>
        <v/>
      </c>
      <c r="AC32" s="357"/>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 customHeight="1" x14ac:dyDescent="0.35">
      <c r="B33" s="52"/>
      <c r="C33" s="48"/>
      <c r="D33" s="250"/>
      <c r="E33" s="518" t="str">
        <f>'Stage 2'!F28</f>
        <v>Lowland grazing</v>
      </c>
      <c r="F33" s="518"/>
      <c r="G33" s="518"/>
      <c r="H33" s="518"/>
      <c r="I33" s="518"/>
      <c r="J33" s="56"/>
      <c r="K33" s="363" t="str">
        <f>IF('Stage 2'!$K28&gt;0,'Stage 2'!O28/'Stage 2'!$K28,"")</f>
        <v/>
      </c>
      <c r="L33" s="365"/>
      <c r="M33" s="304" t="str">
        <f>IF('Stage 2'!$K28&gt;0,'Stage 2'!Q28/'Stage 2'!$K28,"")</f>
        <v/>
      </c>
      <c r="N33" s="358" t="s">
        <v>62</v>
      </c>
      <c r="O33" s="265" t="s">
        <v>81</v>
      </c>
      <c r="P33" s="285"/>
      <c r="Q33" s="56"/>
      <c r="R33" s="262"/>
      <c r="S33" s="262"/>
      <c r="T33" s="518" t="str">
        <f t="shared" si="0"/>
        <v>Lowland grazing</v>
      </c>
      <c r="U33" s="518"/>
      <c r="V33" s="518"/>
      <c r="W33" s="518"/>
      <c r="X33" s="518"/>
      <c r="Y33" s="358" t="s">
        <v>62</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Tables'!AM6,'Data Tables'!AN6),IF($Y$23="575-600",IF($Y$24="Yes",'Data Tables'!AM6,'Data Tables'!AN6),IF($Y$23="600-625",IF($Y$24="Yes",'Data Tables'!AM6,'Data Tables'!AN6),IF($Y$23="625-650",IF($Y$24="Yes",'Data Tables'!AM6,'Data Tables'!AN6),IF($Y$23="650-675",IF($Y$24="Yes",'Data Tables'!AM6,'Data Tables'!AN6),IF($Y$23="675-700",IF($Y$24="Yes",'Data Tables'!AM6,'Data Tables'!AN6),IF($Y$23="700-750",IF($Y$24="Yes",'Data Tables'!AS6,'Data Tables'!AT6),IF($Y$23="750-800",IF($Y$24="Yes",'Data Tables'!AS6,'Data Tables'!AT6),IF($Y$23="800-850",IF($Y$24="Yes",'Data Tables'!AS6,'Data Tables'!AT6),IF($Y$24="Yes",'Data Tables'!AS6,'Data Tables'!AT6)))))))))),IF($Y$22="Impermeable - drained for arable",IF($Y$23="550-575",IF($Y$24="Yes",'Data Tables'!AO6,'Data Tables'!AP6),IF($Y$23="575-600",IF($Y$24="Yes",'Data Tables'!AO6,'Data Tables'!AP6),IF($Y$23="600-625",IF($Y$24="Yes",'Data Tables'!AO6,'Data Tables'!AP6),IF($Y$23="625-650",IF($Y$24="Yes",'Data Tables'!AO6,'Data Tables'!AP6),IF($Y$23="650-675",IF($Y$24="Yes",'Data Tables'!AO6,'Data Tables'!AP6),IF($Y$23="675-700",IF($Y$24="Yes",'Data Tables'!AO6,'Data Tables'!AP6),IF($Y$23="700-750",IF($Y$24="Yes",'Data Tables'!AU6,'Data Tables'!AV6),IF($Y$23="750-800",IF($Y$24="Yes",'Data Tables'!AU6,'Data Tables'!AV6),IF($Y$23="800-850",IF($Y$24="Yes",'Data Tables'!AU6,'Data Tables'!AV6),IF($Y$24="Yes",'Data Tables'!AU6,'Data Tables'!AV6)))))))))),IF($Y$23="550-575",IF($Y$24="Yes",'Data Tables'!AQ6,'Data Tables'!AR6),IF($Y$23="575-600",IF($Y$24="Yes",'Data Tables'!AQ6,'Data Tables'!AR6),IF($Y$23="600-625",IF($Y$24="Yes",'Data Tables'!AQ6,'Data Tables'!AR6),IF($Y$23="625-650",IF($Y$24="Yes",'Data Tables'!AQ6,'Data Tables'!AR6),IF($Y$23="650-675",IF($Y$24="Yes",'Data Tables'!AQ6,'Data Tables'!AR6),IF($Y$23="675-700",IF($Y$24="Yes",'Data Tables'!AQ6,'Data Tables'!AR6),IF($Y$23="700-750",IF($Y$24="Yes",'Data Tables'!AW6,'Data Tables'!AX6),IF($Y$23="750-800",IF($Y$24="Yes",'Data Tables'!AW6,'Data Tables'!AX6),IF($Y$23="800-850",IF($Y$24="Yes",'Data Tables'!AW6,'Data Tables'!AX6),IF($Y$24="Yes",'Data Tables'!AW6,'Data Tables'!AX6))))))))))))),IF($Y$21="Yare",(IF($Y$22="Freely draining",IF($Y$23="550-575",IF($Y$24="Yes",'Data Tables'!AM17,'Data Tables'!AN17),IF($Y$23="575-600",IF($Y$24="Yes",'Data Tables'!AM17,'Data Tables'!AN17),IF($Y$23="600-625",IF($Y$24="Yes",'Data Tables'!AM17,'Data Tables'!AN17),IF($Y$23="625-650",IF($Y$24="Yes",'Data Tables'!AM17,'Data Tables'!AN17),IF($Y$23="650-675",IF($Y$24="Yes",'Data Tables'!AM17,'Data Tables'!AN17),IF($Y$23="675-700",IF($Y$24="Yes",'Data Tables'!AM17,'Data Tables'!AN17),IF($Y$23="700-750",IF($Y$24="Yes",'Data Tables'!AS17,'Data Tables'!AT17),IF($Y$23="750-800",IF($Y$24="Yes",'Data Tables'!AS17,'Data Tables'!AT17),IF($Y$23="800-850",IF($Y$24="Yes",'Data Tables'!AS17,'Data Tables'!AT17),IF($Y$24="Yes",'Data Tables'!AS17,'Data Tables'!AT17)))))))))),IF($Y$22="Impermeable - drained for arable",IF($Y$23="550-575",IF($Y$24="Yes",'Data Tables'!AO17,'Data Tables'!AP17),IF($Y$23="575-600",IF($Y$24="Yes",'Data Tables'!AO17,'Data Tables'!AP17),IF($Y$23="600-625",IF($Y$24="Yes",'Data Tables'!AO17,'Data Tables'!AP17),IF($Y$23="625-650",IF($Y$24="Yes",'Data Tables'!AO17,'Data Tables'!AP17),IF($Y$23="650-675",IF($Y$24="Yes",'Data Tables'!AO17,'Data Tables'!AP17),IF($Y$23="675-700",IF($Y$24="Yes",'Data Tables'!AO17,'Data Tables'!AP17),IF($Y$23="700-750",IF($Y$24="Yes",'Data Tables'!AU17,'Data Tables'!AV17),IF($Y$23="750-800",IF($Y$24="Yes",'Data Tables'!AU17,'Data Tables'!AV17),IF($Y$23="800-850",IF($Y$24="Yes",'Data Tables'!AU17,'Data Tables'!AV17),IF($Y$24="Yes",'Data Tables'!AU17,'Data Tables'!AV17)))))))))),IF($Y$23="550-575",IF($Y$24="Yes",'Data Tables'!AQ17,'Data Tables'!AR17),IF($Y$23="575-600",IF($Y$24="Yes",'Data Tables'!AQ17,'Data Tables'!AR17),IF($Y$23="600-625",IF($Y$24="Yes",'Data Tables'!AQ17,'Data Tables'!AR17),IF($Y$23="625-650",IF($Y$24="Yes",'Data Tables'!AQ17,'Data Tables'!AR17),IF($Y$23="650-675",IF($Y$24="Yes",'Data Tables'!AQ17,'Data Tables'!AR17),IF($Y$23="675-700",IF($Y$24="Yes",'Data Tables'!AQ17,'Data Tables'!AR17),IF($Y$23="700-750",IF($Y$24="Yes",'Data Tables'!AW17,'Data Tables'!AX17),IF($Y$23="750-800",IF($Y$24="Yes",'Data Tables'!AW17,'Data Tables'!AX17),IF($Y$23="800-850",IF($Y$24="Yes",'Data Tables'!AW17,'Data Tables'!AX17),IF($Y$24="Yes",'Data Tables'!AW17,'Data Tables'!AX17))))))))))))),(IF($Y$22="Freely draining",IF($Y$23="550-575",IF($Y$24="Yes",'Data Tables'!AG28,'Data Tables'!AH28),IF($Y$23="575-600",IF($Y$24="Yes",'Data Tables'!AG28,'Data Tables'!AH28),IF($Y$23="600-625",IF($Y$24="Yes",'Data Tables'!AM28,'Data Tables'!AN28),IF($Y$23="625-650",IF($Y$24="Yes",'Data Tables'!AM28,'Data Tables'!AN28),IF($Y$23="650-675",IF($Y$24="Yes",'Data Tables'!AM28,'Data Tables'!AN28),IF($Y$23="675-700",IF($Y$24="Yes",'Data Tables'!AM28,'Data Tables'!AN28),IF($Y$23="700-750",IF($Y$24="Yes",'Data Tables'!AS28,'Data Tables'!AT28),IF($Y$23="750-800",IF($Y$24="Yes",'Data Tables'!AS28,'Data Tables'!AT28),IF($Y$23="800-850",IF($Y$24="Yes",'Data Tables'!AS28,'Data Tables'!AT28),IF($Y$24="Yes",'Data Tables'!AS28,'Data Tables'!AT28)))))))))),IF($Y$22="Impermeable - drained for arable",IF($Y$23="550-575",IF($Y$24="Yes",'Data Tables'!AI28,'Data Tables'!AJ28),IF($Y$23="575-600",IF($Y$24="Yes",'Data Tables'!AI28,'Data Tables'!AJ28),IF($Y$23="600-625",IF($Y$24="Yes",'Data Tables'!AO28,'Data Tables'!AP28),IF($Y$23="625-650",IF($Y$24="Yes",'Data Tables'!AO28,'Data Tables'!AP28),IF($Y$23="650-675",IF($Y$24="Yes",'Data Tables'!AO28,'Data Tables'!AP28),IF($Y$23="675-700",IF($Y$24="Yes",'Data Tables'!AO28,'Data Tables'!AP28),IF($Y$23="700-750",IF($Y$24="Yes",'Data Tables'!AU28,'Data Tables'!AV28),IF($Y$23="750-800",IF($Y$24="Yes",'Data Tables'!AU28,'Data Tables'!AV28),IF($Y$23="800-850",IF($Y$24="Yes",'Data Tables'!AU28,'Data Tables'!AV28),IF($Y$24="Yes",'Data Tables'!AU28,'Data Tables'!AV28)))))))))),IF($Y$23="550-575",IF($Y$24="Yes",'Data Tables'!AK28,'Data Tables'!AL28),IF($Y$23="575-600",IF($Y$24="Yes",'Data Tables'!AK28,'Data Tables'!AL28),IF($Y$23="600-625",IF($Y$24="Yes",'Data Tables'!AQ28,'Data Tables'!AR28),IF($Y$23="625-650",IF($Y$24="Yes",'Data Tables'!AQ28,'Data Tables'!AR28),IF($Y$23="650-675",IF($Y$24="Yes",'Data Tables'!AQ28,'Data Tables'!AR28),IF($Y$23="675-700",IF($Y$24="Yes",'Data Tables'!AQ28,'Data Tables'!AR28),IF($Y$23="700-750",IF($Y$24="Yes",'Data Tables'!AW28,'Data Tables'!AX28),IF($Y$23="750-800",IF($Y$24="Yes",'Data Tables'!AW28,'Data Tables'!AX28),IF($Y$23="800-850",IF($Y$24="Yes",'Data Tables'!AW28,'Data Tables'!AX28),IF($Y$24="Yes",'Data Tables'!AW28,'Data Tables'!AX28))))))))))))))),0),"")</f>
        <v/>
      </c>
      <c r="AC33" s="357"/>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 customHeight="1" x14ac:dyDescent="0.35">
      <c r="B34" s="52"/>
      <c r="C34" s="48"/>
      <c r="D34" s="250"/>
      <c r="E34" s="518" t="str">
        <f>'Stage 2'!F29</f>
        <v>Mixed</v>
      </c>
      <c r="F34" s="518"/>
      <c r="G34" s="518"/>
      <c r="H34" s="518"/>
      <c r="I34" s="518"/>
      <c r="J34" s="56"/>
      <c r="K34" s="363" t="str">
        <f>IF('Stage 2'!$K29&gt;0,'Stage 2'!O29/'Stage 2'!$K29,"")</f>
        <v/>
      </c>
      <c r="L34" s="365"/>
      <c r="M34" s="304" t="str">
        <f>IF('Stage 2'!$K29&gt;0,'Stage 2'!Q29/'Stage 2'!$K29,"")</f>
        <v/>
      </c>
      <c r="N34" s="358" t="s">
        <v>62</v>
      </c>
      <c r="O34" s="265" t="s">
        <v>81</v>
      </c>
      <c r="P34" s="285"/>
      <c r="Q34" s="56"/>
      <c r="R34" s="262"/>
      <c r="S34" s="262"/>
      <c r="T34" s="518" t="str">
        <f t="shared" si="0"/>
        <v>Mixed</v>
      </c>
      <c r="U34" s="518"/>
      <c r="V34" s="518"/>
      <c r="W34" s="518"/>
      <c r="X34" s="518"/>
      <c r="Y34" s="358" t="s">
        <v>62</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Tables'!AM7,'Data Tables'!AN7),IF($Y$23="575-600",IF($Y$24="Yes",'Data Tables'!AM7,'Data Tables'!AN7),IF($Y$23="600-625",IF($Y$24="Yes",'Data Tables'!AM7,'Data Tables'!AN7),IF($Y$23="625-650",IF($Y$24="Yes",'Data Tables'!AM7,'Data Tables'!AN7),IF($Y$23="650-675",IF($Y$24="Yes",'Data Tables'!AM7,'Data Tables'!AN7),IF($Y$23="675-700",IF($Y$24="Yes",'Data Tables'!AM7,'Data Tables'!AN7),IF($Y$23="700-750",IF($Y$24="Yes",'Data Tables'!AS7,'Data Tables'!AT7),IF($Y$23="750-800",IF($Y$24="Yes",'Data Tables'!AS7,'Data Tables'!AT7),IF($Y$23="800-850",IF($Y$24="Yes",'Data Tables'!AS7,'Data Tables'!AT7),IF($Y$24="Yes",'Data Tables'!AS7,'Data Tables'!AT7)))))))))),IF($Y$22="Impermeable - drained for arable",IF($Y$23="550-575",IF($Y$24="Yes",'Data Tables'!AO7,'Data Tables'!AP7),IF($Y$23="575-600",IF($Y$24="Yes",'Data Tables'!AO7,'Data Tables'!AP7),IF($Y$23="600-625",IF($Y$24="Yes",'Data Tables'!AO7,'Data Tables'!AP7),IF($Y$23="625-650",IF($Y$24="Yes",'Data Tables'!AO7,'Data Tables'!AP7),IF($Y$23="650-675",IF($Y$24="Yes",'Data Tables'!AO7,'Data Tables'!AP7),IF($Y$23="675-700",IF($Y$24="Yes",'Data Tables'!AO7,'Data Tables'!AP7),IF($Y$23="700-750",IF($Y$24="Yes",'Data Tables'!AU7,'Data Tables'!AV7),IF($Y$23="750-800",IF($Y$24="Yes",'Data Tables'!AU7,'Data Tables'!AV7),IF($Y$23="800-850",IF($Y$24="Yes",'Data Tables'!AU7,'Data Tables'!AV7),IF($Y$24="Yes",'Data Tables'!AU7,'Data Tables'!AV7)))))))))),IF($Y$23="550-575",IF($Y$24="Yes",'Data Tables'!AQ7,'Data Tables'!AR7),IF($Y$23="575-600",IF($Y$24="Yes",'Data Tables'!AQ7,'Data Tables'!AR7),IF($Y$23="600-625",IF($Y$24="Yes",'Data Tables'!AQ7,'Data Tables'!AR7),IF($Y$23="625-650",IF($Y$24="Yes",'Data Tables'!AQ7,'Data Tables'!AR7),IF($Y$23="650-675",IF($Y$24="Yes",'Data Tables'!AQ7,'Data Tables'!AR7),IF($Y$23="675-700",IF($Y$24="Yes",'Data Tables'!AQ7,'Data Tables'!AR7),IF($Y$23="700-750",IF($Y$24="Yes",'Data Tables'!AW7,'Data Tables'!AX7),IF($Y$23="750-800",IF($Y$24="Yes",'Data Tables'!AW7,'Data Tables'!AX7),IF($Y$23="800-850",IF($Y$24="Yes",'Data Tables'!AW7,'Data Tables'!AX7),IF($Y$24="Yes",'Data Tables'!AW7,'Data Tables'!AX7))))))))))))),IF($Y$21="Yare",(IF($Y$22="Freely draining",IF($Y$23="550-575",IF($Y$24="Yes",'Data Tables'!AM18,'Data Tables'!AN18),IF($Y$23="575-600",IF($Y$24="Yes",'Data Tables'!AM18,'Data Tables'!AN18),IF($Y$23="600-625",IF($Y$24="Yes",'Data Tables'!AM18,'Data Tables'!AN18),IF($Y$23="625-650",IF($Y$24="Yes",'Data Tables'!AM18,'Data Tables'!AN18),IF($Y$23="650-675",IF($Y$24="Yes",'Data Tables'!AM18,'Data Tables'!AN18),IF($Y$23="675-700",IF($Y$24="Yes",'Data Tables'!AM18,'Data Tables'!AN18),IF($Y$23="700-750",IF($Y$24="Yes",'Data Tables'!AS18,'Data Tables'!AT18),IF($Y$23="750-800",IF($Y$24="Yes",'Data Tables'!AS18,'Data Tables'!AT18),IF($Y$23="800-850",IF($Y$24="Yes",'Data Tables'!AS18,'Data Tables'!AT18),IF($Y$24="Yes",'Data Tables'!AS18,'Data Tables'!AT18)))))))))),IF($Y$22="Impermeable - drained for arable",IF($Y$23="550-575",IF($Y$24="Yes",'Data Tables'!AO18,'Data Tables'!AP18),IF($Y$23="575-600",IF($Y$24="Yes",'Data Tables'!AO18,'Data Tables'!AP18),IF($Y$23="600-625",IF($Y$24="Yes",'Data Tables'!AO18,'Data Tables'!AP18),IF($Y$23="625-650",IF($Y$24="Yes",'Data Tables'!AO18,'Data Tables'!AP18),IF($Y$23="650-675",IF($Y$24="Yes",'Data Tables'!AO18,'Data Tables'!AP18),IF($Y$23="675-700",IF($Y$24="Yes",'Data Tables'!AO18,'Data Tables'!AP18),IF($Y$23="700-750",IF($Y$24="Yes",'Data Tables'!AU18,'Data Tables'!AV18),IF($Y$23="750-800",IF($Y$24="Yes",'Data Tables'!AU18,'Data Tables'!AV18),IF($Y$23="800-850",IF($Y$24="Yes",'Data Tables'!AU18,'Data Tables'!AV18),IF($Y$24="Yes",'Data Tables'!AU18,'Data Tables'!AV18)))))))))),IF($Y$23="550-575",IF($Y$24="Yes",'Data Tables'!AQ18,'Data Tables'!AR18),IF($Y$23="575-600",IF($Y$24="Yes",'Data Tables'!AQ18,'Data Tables'!AR18),IF($Y$23="600-625",IF($Y$24="Yes",'Data Tables'!AQ18,'Data Tables'!AR18),IF($Y$23="625-650",IF($Y$24="Yes",'Data Tables'!AQ18,'Data Tables'!AR18),IF($Y$23="650-675",IF($Y$24="Yes",'Data Tables'!AQ18,'Data Tables'!AR18),IF($Y$23="675-700",IF($Y$24="Yes",'Data Tables'!AQ18,'Data Tables'!AR18),IF($Y$23="700-750",IF($Y$24="Yes",'Data Tables'!AW18,'Data Tables'!AX18),IF($Y$23="750-800",IF($Y$24="Yes",'Data Tables'!AW18,'Data Tables'!AX18),IF($Y$23="800-850",IF($Y$24="Yes",'Data Tables'!AW18,'Data Tables'!AX18),IF($Y$24="Yes",'Data Tables'!AW18,'Data Tables'!AX18))))))))))))),(IF($Y$22="Freely draining",IF($Y$23="550-575",IF($Y$24="Yes",'Data Tables'!AG29,'Data Tables'!AH29),IF($Y$23="575-600",IF($Y$24="Yes",'Data Tables'!AG29,'Data Tables'!AH29),IF($Y$23="600-625",IF($Y$24="Yes",'Data Tables'!AM29,'Data Tables'!AN29),IF($Y$23="625-650",IF($Y$24="Yes",'Data Tables'!AM29,'Data Tables'!AN29),IF($Y$23="650-675",IF($Y$24="Yes",'Data Tables'!AM29,'Data Tables'!AN29),IF($Y$23="675-700",IF($Y$24="Yes",'Data Tables'!AM29,'Data Tables'!AN29),IF($Y$23="700-750",IF($Y$24="Yes",'Data Tables'!AS29,'Data Tables'!AT29),IF($Y$23="750-800",IF($Y$24="Yes",'Data Tables'!AS29,'Data Tables'!AT29),IF($Y$23="800-850",IF($Y$24="Yes",'Data Tables'!AS29,'Data Tables'!AT29),IF($Y$24="Yes",'Data Tables'!AS29,'Data Tables'!AT29)))))))))),IF($Y$22="Impermeable - drained for arable",IF($Y$23="550-575",IF($Y$24="Yes",'Data Tables'!AI29,'Data Tables'!AJ29),IF($Y$23="575-600",IF($Y$24="Yes",'Data Tables'!AI29,'Data Tables'!AJ29),IF($Y$23="600-625",IF($Y$24="Yes",'Data Tables'!AO29,'Data Tables'!AP29),IF($Y$23="625-650",IF($Y$24="Yes",'Data Tables'!AO29,'Data Tables'!AP29),IF($Y$23="650-675",IF($Y$24="Yes",'Data Tables'!AO29,'Data Tables'!AP29),IF($Y$23="675-700",IF($Y$24="Yes",'Data Tables'!AO29,'Data Tables'!AP29),IF($Y$23="700-750",IF($Y$24="Yes",'Data Tables'!AU29,'Data Tables'!AV29),IF($Y$23="750-800",IF($Y$24="Yes",'Data Tables'!AU29,'Data Tables'!AV29),IF($Y$23="800-850",IF($Y$24="Yes",'Data Tables'!AU29,'Data Tables'!AV29),IF($Y$24="Yes",'Data Tables'!AU29,'Data Tables'!AV29)))))))))),IF($Y$23="550-575",IF($Y$24="Yes",'Data Tables'!AK29,'Data Tables'!AL29),IF($Y$23="575-600",IF($Y$24="Yes",'Data Tables'!AK29,'Data Tables'!AL29),IF($Y$23="600-625",IF($Y$24="Yes",'Data Tables'!AQ29,'Data Tables'!AR29),IF($Y$23="625-650",IF($Y$24="Yes",'Data Tables'!AQ29,'Data Tables'!AR29),IF($Y$23="650-675",IF($Y$24="Yes",'Data Tables'!AQ29,'Data Tables'!AR29),IF($Y$23="675-700",IF($Y$24="Yes",'Data Tables'!AQ29,'Data Tables'!AR29),IF($Y$23="700-750",IF($Y$24="Yes",'Data Tables'!AW29,'Data Tables'!AX29),IF($Y$23="750-800",IF($Y$24="Yes",'Data Tables'!AW29,'Data Tables'!AX29),IF($Y$23="800-850",IF($Y$24="Yes",'Data Tables'!AW29,'Data Tables'!AX29),IF($Y$24="Yes",'Data Tables'!AW29,'Data Tables'!AX29))))))))))))))),0),"")</f>
        <v/>
      </c>
      <c r="AC34" s="357"/>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 customHeight="1" x14ac:dyDescent="0.35">
      <c r="B35" s="52"/>
      <c r="C35" s="48"/>
      <c r="D35" s="250"/>
      <c r="E35" s="518" t="str">
        <f>'Stage 2'!F30</f>
        <v>Poultry</v>
      </c>
      <c r="F35" s="518"/>
      <c r="G35" s="518"/>
      <c r="H35" s="518"/>
      <c r="I35" s="518"/>
      <c r="J35" s="56"/>
      <c r="K35" s="363" t="str">
        <f>IF('Stage 2'!$K30&gt;0,'Stage 2'!O30/'Stage 2'!$K30,"")</f>
        <v/>
      </c>
      <c r="L35" s="365"/>
      <c r="M35" s="304" t="str">
        <f>IF('Stage 2'!$K30&gt;0,'Stage 2'!Q30/'Stage 2'!$K30,"")</f>
        <v/>
      </c>
      <c r="N35" s="358" t="s">
        <v>62</v>
      </c>
      <c r="O35" s="265" t="s">
        <v>81</v>
      </c>
      <c r="P35" s="285"/>
      <c r="Q35" s="56"/>
      <c r="R35" s="262"/>
      <c r="S35" s="262"/>
      <c r="T35" s="518" t="str">
        <f t="shared" si="0"/>
        <v>Poultry</v>
      </c>
      <c r="U35" s="518"/>
      <c r="V35" s="518"/>
      <c r="W35" s="518"/>
      <c r="X35" s="518"/>
      <c r="Y35" s="358" t="s">
        <v>62</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Tables'!AM8,'Data Tables'!AN8),IF($Y$23="575-600",IF($Y$24="Yes",'Data Tables'!AM8,'Data Tables'!AN8),IF($Y$23="600-625",IF($Y$24="Yes",'Data Tables'!AM8,'Data Tables'!AN8),IF($Y$23="625-650",IF($Y$24="Yes",'Data Tables'!AM8,'Data Tables'!AN8),IF($Y$23="650-675",IF($Y$24="Yes",'Data Tables'!AM8,'Data Tables'!AN8),IF($Y$23="675-700",IF($Y$24="Yes",'Data Tables'!AM8,'Data Tables'!AN8),IF($Y$23="700-750",IF($Y$24="Yes",'Data Tables'!AS8,'Data Tables'!AT8),IF($Y$23="750-800",IF($Y$24="Yes",'Data Tables'!AS8,'Data Tables'!AT8),IF($Y$23="800-850",IF($Y$24="Yes",'Data Tables'!AS8,'Data Tables'!AT8),IF($Y$24="Yes",'Data Tables'!AS8,'Data Tables'!AT8)))))))))),IF($Y$22="Impermeable - drained for arable",IF($Y$23="550-575",IF($Y$24="Yes",'Data Tables'!AO8,'Data Tables'!AP8),IF($Y$23="575-600",IF($Y$24="Yes",'Data Tables'!AO8,'Data Tables'!AP8),IF($Y$23="600-625",IF($Y$24="Yes",'Data Tables'!AO8,'Data Tables'!AP8),IF($Y$23="625-650",IF($Y$24="Yes",'Data Tables'!AO8,'Data Tables'!AP8),IF($Y$23="650-675",IF($Y$24="Yes",'Data Tables'!AO8,'Data Tables'!AP8),IF($Y$23="675-700",IF($Y$24="Yes",'Data Tables'!AO8,'Data Tables'!AP8),IF($Y$23="700-750",IF($Y$24="Yes",'Data Tables'!AU8,'Data Tables'!AV8),IF($Y$23="750-800",IF($Y$24="Yes",'Data Tables'!AU8,'Data Tables'!AV8),IF($Y$23="800-850",IF($Y$24="Yes",'Data Tables'!AU8,'Data Tables'!AV8),IF($Y$24="Yes",'Data Tables'!AU8,'Data Tables'!AV8)))))))))),IF($Y$23="550-575",IF($Y$24="Yes",'Data Tables'!AQ8,'Data Tables'!AR8),IF($Y$23="575-600",IF($Y$24="Yes",'Data Tables'!AQ8,'Data Tables'!AR8),IF($Y$23="600-625",IF($Y$24="Yes",'Data Tables'!AQ8,'Data Tables'!AR8),IF($Y$23="625-650",IF($Y$24="Yes",'Data Tables'!AQ8,'Data Tables'!AR8),IF($Y$23="650-675",IF($Y$24="Yes",'Data Tables'!AQ8,'Data Tables'!AR8),IF($Y$23="675-700",IF($Y$24="Yes",'Data Tables'!AQ8,'Data Tables'!AR8),IF($Y$23="700-750",IF($Y$24="Yes",'Data Tables'!AW8,'Data Tables'!AX8),IF($Y$23="750-800",IF($Y$24="Yes",'Data Tables'!AW8,'Data Tables'!AX8),IF($Y$23="800-850",IF($Y$24="Yes",'Data Tables'!AW8,'Data Tables'!AX8),IF($Y$24="Yes",'Data Tables'!AW8,'Data Tables'!AX8))))))))))))),IF($Y$21="Yare",(IF($Y$22="Freely draining",IF($Y$23="550-575",IF($Y$24="Yes",'Data Tables'!AM19,'Data Tables'!AN19),IF($Y$23="575-600",IF($Y$24="Yes",'Data Tables'!AM19,'Data Tables'!AN19),IF($Y$23="600-625",IF($Y$24="Yes",'Data Tables'!AM19,'Data Tables'!AN19),IF($Y$23="625-650",IF($Y$24="Yes",'Data Tables'!AM19,'Data Tables'!AN19),IF($Y$23="650-675",IF($Y$24="Yes",'Data Tables'!AM19,'Data Tables'!AN19),IF($Y$23="675-700",IF($Y$24="Yes",'Data Tables'!AM19,'Data Tables'!AN19),IF($Y$23="700-750",IF($Y$24="Yes",'Data Tables'!AS19,'Data Tables'!AT19),IF($Y$23="750-800",IF($Y$24="Yes",'Data Tables'!AS19,'Data Tables'!AT19),IF($Y$23="800-850",IF($Y$24="Yes",'Data Tables'!AS19,'Data Tables'!AT19),IF($Y$24="Yes",'Data Tables'!AS19,'Data Tables'!AT19)))))))))),IF($Y$22="Impermeable - drained for arable",IF($Y$23="550-575",IF($Y$24="Yes",'Data Tables'!AO19,'Data Tables'!AP19),IF($Y$23="575-600",IF($Y$24="Yes",'Data Tables'!AO19,'Data Tables'!AP19),IF($Y$23="600-625",IF($Y$24="Yes",'Data Tables'!AO19,'Data Tables'!AP19),IF($Y$23="625-650",IF($Y$24="Yes",'Data Tables'!AO19,'Data Tables'!AP19),IF($Y$23="650-675",IF($Y$24="Yes",'Data Tables'!AO19,'Data Tables'!AP19),IF($Y$23="675-700",IF($Y$24="Yes",'Data Tables'!AO19,'Data Tables'!AP19),IF($Y$23="700-750",IF($Y$24="Yes",'Data Tables'!AU19,'Data Tables'!AV19),IF($Y$23="750-800",IF($Y$24="Yes",'Data Tables'!AU19,'Data Tables'!AV19),IF($Y$23="800-850",IF($Y$24="Yes",'Data Tables'!AU19,'Data Tables'!AV19),IF($Y$24="Yes",'Data Tables'!AU19,'Data Tables'!AV19)))))))))),IF($Y$23="550-575",IF($Y$24="Yes",'Data Tables'!AQ19,'Data Tables'!AR19),IF($Y$23="575-600",IF($Y$24="Yes",'Data Tables'!AQ19,'Data Tables'!AR19),IF($Y$23="600-625",IF($Y$24="Yes",'Data Tables'!AQ19,'Data Tables'!AR19),IF($Y$23="625-650",IF($Y$24="Yes",'Data Tables'!AQ19,'Data Tables'!AR19),IF($Y$23="650-675",IF($Y$24="Yes",'Data Tables'!AQ19,'Data Tables'!AR19),IF($Y$23="675-700",IF($Y$24="Yes",'Data Tables'!AQ19,'Data Tables'!AR19),IF($Y$23="700-750",IF($Y$24="Yes",'Data Tables'!AW19,'Data Tables'!AX19),IF($Y$23="750-800",IF($Y$24="Yes",'Data Tables'!AW19,'Data Tables'!AX19),IF($Y$23="800-850",IF($Y$24="Yes",'Data Tables'!AW19,'Data Tables'!AX19),IF($Y$24="Yes",'Data Tables'!AW19,'Data Tables'!AX19))))))))))))),(IF($Y$22="Freely draining",IF($Y$23="550-575",IF($Y$24="Yes",'Data Tables'!AG30,'Data Tables'!AH30),IF($Y$23="575-600",IF($Y$24="Yes",'Data Tables'!AG30,'Data Tables'!AH30),IF($Y$23="600-625",IF($Y$24="Yes",'Data Tables'!AM30,'Data Tables'!AN30),IF($Y$23="625-650",IF($Y$24="Yes",'Data Tables'!AM30,'Data Tables'!AN30),IF($Y$23="650-675",IF($Y$24="Yes",'Data Tables'!AM30,'Data Tables'!AN30),IF($Y$23="675-700",IF($Y$24="Yes",'Data Tables'!AM30,'Data Tables'!AN30),IF($Y$23="700-750",IF($Y$24="Yes",'Data Tables'!AS30,'Data Tables'!AT30),IF($Y$23="750-800",IF($Y$24="Yes",'Data Tables'!AS30,'Data Tables'!AT30),IF($Y$23="800-850",IF($Y$24="Yes",'Data Tables'!AS30,'Data Tables'!AT30),IF($Y$24="Yes",'Data Tables'!AS30,'Data Tables'!AT30)))))))))),IF($Y$22="Impermeable - drained for arable",IF($Y$23="550-575",IF($Y$24="Yes",'Data Tables'!AI30,'Data Tables'!AJ30),IF($Y$23="575-600",IF($Y$24="Yes",'Data Tables'!AI30,'Data Tables'!AJ30),IF($Y$23="600-625",IF($Y$24="Yes",'Data Tables'!AO30,'Data Tables'!AP30),IF($Y$23="625-650",IF($Y$24="Yes",'Data Tables'!AO30,'Data Tables'!AP30),IF($Y$23="650-675",IF($Y$24="Yes",'Data Tables'!AO30,'Data Tables'!AP30),IF($Y$23="675-700",IF($Y$24="Yes",'Data Tables'!AO30,'Data Tables'!AP30),IF($Y$23="700-750",IF($Y$24="Yes",'Data Tables'!AU30,'Data Tables'!AV30),IF($Y$23="750-800",IF($Y$24="Yes",'Data Tables'!AU30,'Data Tables'!AV30),IF($Y$23="800-850",IF($Y$24="Yes",'Data Tables'!AU30,'Data Tables'!AV30),IF($Y$24="Yes",'Data Tables'!AU30,'Data Tables'!AV30)))))))))),IF($Y$23="550-575",IF($Y$24="Yes",'Data Tables'!AK30,'Data Tables'!AL30),IF($Y$23="575-600",IF($Y$24="Yes",'Data Tables'!AK30,'Data Tables'!AL30),IF($Y$23="600-625",IF($Y$24="Yes",'Data Tables'!AQ30,'Data Tables'!AR30),IF($Y$23="625-650",IF($Y$24="Yes",'Data Tables'!AQ30,'Data Tables'!AR30),IF($Y$23="650-675",IF($Y$24="Yes",'Data Tables'!AQ30,'Data Tables'!AR30),IF($Y$23="675-700",IF($Y$24="Yes",'Data Tables'!AQ30,'Data Tables'!AR30),IF($Y$23="700-750",IF($Y$24="Yes",'Data Tables'!AW30,'Data Tables'!AX30),IF($Y$23="750-800",IF($Y$24="Yes",'Data Tables'!AW30,'Data Tables'!AX30),IF($Y$23="800-850",IF($Y$24="Yes",'Data Tables'!AW30,'Data Tables'!AX30),IF($Y$24="Yes",'Data Tables'!AW30,'Data Tables'!AX30))))))))))))))),0),"")</f>
        <v/>
      </c>
      <c r="AC35" s="357"/>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 customHeight="1" x14ac:dyDescent="0.35">
      <c r="B36" s="52"/>
      <c r="C36" s="48"/>
      <c r="D36" s="250"/>
      <c r="E36" s="518" t="str">
        <f>'Stage 2'!F31</f>
        <v>Pigs</v>
      </c>
      <c r="F36" s="518"/>
      <c r="G36" s="518"/>
      <c r="H36" s="518"/>
      <c r="I36" s="518"/>
      <c r="J36" s="56"/>
      <c r="K36" s="363" t="str">
        <f>IF('Stage 2'!$K31&gt;0,'Stage 2'!O31/'Stage 2'!$K31,"")</f>
        <v/>
      </c>
      <c r="L36" s="365"/>
      <c r="M36" s="304" t="str">
        <f>IF('Stage 2'!$K31&gt;0,'Stage 2'!Q31/'Stage 2'!$K31,"")</f>
        <v/>
      </c>
      <c r="N36" s="358" t="s">
        <v>62</v>
      </c>
      <c r="O36" s="265" t="s">
        <v>81</v>
      </c>
      <c r="P36" s="285"/>
      <c r="Q36" s="56"/>
      <c r="R36" s="262"/>
      <c r="S36" s="262"/>
      <c r="T36" s="518" t="str">
        <f t="shared" si="0"/>
        <v>Pigs</v>
      </c>
      <c r="U36" s="518"/>
      <c r="V36" s="518"/>
      <c r="W36" s="518"/>
      <c r="X36" s="518"/>
      <c r="Y36" s="358" t="s">
        <v>62</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Tables'!AM9,'Data Tables'!AN9),IF($Y$23="575-600",IF($Y$24="Yes",'Data Tables'!AM9,'Data Tables'!AN9),IF($Y$23="600-625",IF($Y$24="Yes",'Data Tables'!AM9,'Data Tables'!AN9),IF($Y$23="625-650",IF($Y$24="Yes",'Data Tables'!AM9,'Data Tables'!AN9),IF($Y$23="650-675",IF($Y$24="Yes",'Data Tables'!AM9,'Data Tables'!AN9),IF($Y$23="675-700",IF($Y$24="Yes",'Data Tables'!AM9,'Data Tables'!AN9),IF($Y$23="700-750",IF($Y$24="Yes",'Data Tables'!AS9,'Data Tables'!AT9),IF($Y$23="750-800",IF($Y$24="Yes",'Data Tables'!AS9,'Data Tables'!AT9),IF($Y$23="800-850",IF($Y$24="Yes",'Data Tables'!AS9,'Data Tables'!AT9),IF($Y$24="Yes",'Data Tables'!AS9,'Data Tables'!AT9)))))))))),IF($Y$22="Impermeable - drained for arable",IF($Y$23="550-575",IF($Y$24="Yes",'Data Tables'!AO9,'Data Tables'!AP9),IF($Y$23="575-600",IF($Y$24="Yes",'Data Tables'!AO9,'Data Tables'!AP9),IF($Y$23="600-625",IF($Y$24="Yes",'Data Tables'!AO9,'Data Tables'!AP9),IF($Y$23="625-650",IF($Y$24="Yes",'Data Tables'!AO9,'Data Tables'!AP9),IF($Y$23="650-675",IF($Y$24="Yes",'Data Tables'!AO9,'Data Tables'!AP9),IF($Y$23="675-700",IF($Y$24="Yes",'Data Tables'!AO9,'Data Tables'!AP9),IF($Y$23="700-750",IF($Y$24="Yes",'Data Tables'!AU9,'Data Tables'!AV9),IF($Y$23="750-800",IF($Y$24="Yes",'Data Tables'!AU9,'Data Tables'!AV9),IF($Y$23="800-850",IF($Y$24="Yes",'Data Tables'!AU9,'Data Tables'!AV9),IF($Y$24="Yes",'Data Tables'!AU9,'Data Tables'!AV9)))))))))),IF($Y$23="550-575",IF($Y$24="Yes",'Data Tables'!AQ9,'Data Tables'!AR9),IF($Y$23="575-600",IF($Y$24="Yes",'Data Tables'!AQ9,'Data Tables'!AR9),IF($Y$23="600-625",IF($Y$24="Yes",'Data Tables'!AQ9,'Data Tables'!AR9),IF($Y$23="625-650",IF($Y$24="Yes",'Data Tables'!AQ9,'Data Tables'!AR9),IF($Y$23="650-675",IF($Y$24="Yes",'Data Tables'!AQ9,'Data Tables'!AR9),IF($Y$23="675-700",IF($Y$24="Yes",'Data Tables'!AQ9,'Data Tables'!AR9),IF($Y$23="700-750",IF($Y$24="Yes",'Data Tables'!AW9,'Data Tables'!AX9),IF($Y$23="750-800",IF($Y$24="Yes",'Data Tables'!AW9,'Data Tables'!AX9),IF($Y$23="800-850",IF($Y$24="Yes",'Data Tables'!AW9,'Data Tables'!AX9),IF($Y$24="Yes",'Data Tables'!AW9,'Data Tables'!AX9))))))))))))),IF($Y$21="Yare",(IF($Y$22="Freely draining",IF($Y$23="550-575",IF($Y$24="Yes",'Data Tables'!AM20,'Data Tables'!AN20),IF($Y$23="575-600",IF($Y$24="Yes",'Data Tables'!AM20,'Data Tables'!AN20),IF($Y$23="600-625",IF($Y$24="Yes",'Data Tables'!AM20,'Data Tables'!AN20),IF($Y$23="625-650",IF($Y$24="Yes",'Data Tables'!AM20,'Data Tables'!AN20),IF($Y$23="650-675",IF($Y$24="Yes",'Data Tables'!AM20,'Data Tables'!AN20),IF($Y$23="675-700",IF($Y$24="Yes",'Data Tables'!AM20,'Data Tables'!AN20),IF($Y$23="700-750",IF($Y$24="Yes",'Data Tables'!AS20,'Data Tables'!AT20),IF($Y$23="750-800",IF($Y$24="Yes",'Data Tables'!AS20,'Data Tables'!AT20),IF($Y$23="800-850",IF($Y$24="Yes",'Data Tables'!AS20,'Data Tables'!AT20),IF($Y$24="Yes",'Data Tables'!AS20,'Data Tables'!AT20)))))))))),IF($Y$22="Impermeable - drained for arable",IF($Y$23="550-575",IF($Y$24="Yes",'Data Tables'!AO20,'Data Tables'!AP20),IF($Y$23="575-600",IF($Y$24="Yes",'Data Tables'!AO20,'Data Tables'!AP20),IF($Y$23="600-625",IF($Y$24="Yes",'Data Tables'!AO20,'Data Tables'!AP20),IF($Y$23="625-650",IF($Y$24="Yes",'Data Tables'!AO20,'Data Tables'!AP20),IF($Y$23="650-675",IF($Y$24="Yes",'Data Tables'!AO20,'Data Tables'!AP20),IF($Y$23="675-700",IF($Y$24="Yes",'Data Tables'!AO20,'Data Tables'!AP20),IF($Y$23="700-750",IF($Y$24="Yes",'Data Tables'!AU20,'Data Tables'!AV20),IF($Y$23="750-800",IF($Y$24="Yes",'Data Tables'!AU20,'Data Tables'!AV20),IF($Y$23="800-850",IF($Y$24="Yes",'Data Tables'!AU20,'Data Tables'!AV20),IF($Y$24="Yes",'Data Tables'!AU20,'Data Tables'!AV20)))))))))),IF($Y$23="550-575",IF($Y$24="Yes",'Data Tables'!AQ20,'Data Tables'!AR20),IF($Y$23="575-600",IF($Y$24="Yes",'Data Tables'!AQ20,'Data Tables'!AR20),IF($Y$23="600-625",IF($Y$24="Yes",'Data Tables'!AQ20,'Data Tables'!AR20),IF($Y$23="625-650",IF($Y$24="Yes",'Data Tables'!AQ20,'Data Tables'!AR20),IF($Y$23="650-675",IF($Y$24="Yes",'Data Tables'!AQ20,'Data Tables'!AR20),IF($Y$23="675-700",IF($Y$24="Yes",'Data Tables'!AQ20,'Data Tables'!AR20),IF($Y$23="700-750",IF($Y$24="Yes",'Data Tables'!AW20,'Data Tables'!AX20),IF($Y$23="750-800",IF($Y$24="Yes",'Data Tables'!AW20,'Data Tables'!AX20),IF($Y$23="800-850",IF($Y$24="Yes",'Data Tables'!AW20,'Data Tables'!AX20),IF($Y$24="Yes",'Data Tables'!AW20,'Data Tables'!AX20))))))))))))),(IF($Y$22="Freely draining",IF($Y$23="550-575",IF($Y$24="Yes",'Data Tables'!AG31,'Data Tables'!AH31),IF($Y$23="575-600",IF($Y$24="Yes",'Data Tables'!AG31,'Data Tables'!AH31),IF($Y$23="600-625",IF($Y$24="Yes",'Data Tables'!AM31,'Data Tables'!AN31),IF($Y$23="625-650",IF($Y$24="Yes",'Data Tables'!AM31,'Data Tables'!AN31),IF($Y$23="650-675",IF($Y$24="Yes",'Data Tables'!AM31,'Data Tables'!AN31),IF($Y$23="675-700",IF($Y$24="Yes",'Data Tables'!AM31,'Data Tables'!AN31),IF($Y$23="700-750",IF($Y$24="Yes",'Data Tables'!AS31,'Data Tables'!AT31),IF($Y$23="750-800",IF($Y$24="Yes",'Data Tables'!AS31,'Data Tables'!AT31),IF($Y$23="800-850",IF($Y$24="Yes",'Data Tables'!AS31,'Data Tables'!AT31),IF($Y$24="Yes",'Data Tables'!AS31,'Data Tables'!AT31)))))))))),IF($Y$22="Impermeable - drained for arable",IF($Y$23="550-575",IF($Y$24="Yes",'Data Tables'!AI31,'Data Tables'!AJ31),IF($Y$23="575-600",IF($Y$24="Yes",'Data Tables'!AI31,'Data Tables'!AJ31),IF($Y$23="600-625",IF($Y$24="Yes",'Data Tables'!AO31,'Data Tables'!AP31),IF($Y$23="625-650",IF($Y$24="Yes",'Data Tables'!AO31,'Data Tables'!AP31),IF($Y$23="650-675",IF($Y$24="Yes",'Data Tables'!AO31,'Data Tables'!AP31),IF($Y$23="675-700",IF($Y$24="Yes",'Data Tables'!AO31,'Data Tables'!AP31),IF($Y$23="700-750",IF($Y$24="Yes",'Data Tables'!AU31,'Data Tables'!AV31),IF($Y$23="750-800",IF($Y$24="Yes",'Data Tables'!AU31,'Data Tables'!AV31),IF($Y$23="800-850",IF($Y$24="Yes",'Data Tables'!AU31,'Data Tables'!AV31),IF($Y$24="Yes",'Data Tables'!AU31,'Data Tables'!AV31)))))))))),IF($Y$23="550-575",IF($Y$24="Yes",'Data Tables'!AK31,'Data Tables'!AL31),IF($Y$23="575-600",IF($Y$24="Yes",'Data Tables'!AK31,'Data Tables'!AL31),IF($Y$23="600-625",IF($Y$24="Yes",'Data Tables'!AQ31,'Data Tables'!AR31),IF($Y$23="625-650",IF($Y$24="Yes",'Data Tables'!AQ31,'Data Tables'!AR31),IF($Y$23="650-675",IF($Y$24="Yes",'Data Tables'!AQ31,'Data Tables'!AR31),IF($Y$23="675-700",IF($Y$24="Yes",'Data Tables'!AQ31,'Data Tables'!AR31),IF($Y$23="700-750",IF($Y$24="Yes",'Data Tables'!AW31,'Data Tables'!AX31),IF($Y$23="750-800",IF($Y$24="Yes",'Data Tables'!AW31,'Data Tables'!AX31),IF($Y$23="800-850",IF($Y$24="Yes",'Data Tables'!AW31,'Data Tables'!AX31),IF($Y$24="Yes",'Data Tables'!AW31,'Data Tables'!AX31))))))))))))))),0),"")</f>
        <v/>
      </c>
      <c r="AC36" s="357"/>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 customHeight="1" x14ac:dyDescent="0.35">
      <c r="B37" s="52"/>
      <c r="C37" s="48"/>
      <c r="D37" s="250"/>
      <c r="E37" s="518" t="str">
        <f>'Stage 2'!F32</f>
        <v>Horticulture</v>
      </c>
      <c r="F37" s="518"/>
      <c r="G37" s="518"/>
      <c r="H37" s="518"/>
      <c r="I37" s="518"/>
      <c r="J37" s="56"/>
      <c r="K37" s="363" t="str">
        <f>IF('Stage 2'!$K32&gt;0,'Stage 2'!O32/'Stage 2'!$K32,"")</f>
        <v/>
      </c>
      <c r="L37" s="365"/>
      <c r="M37" s="304" t="str">
        <f>IF('Stage 2'!$K32&gt;0,'Stage 2'!Q32/'Stage 2'!$K32,"")</f>
        <v/>
      </c>
      <c r="N37" s="358" t="s">
        <v>62</v>
      </c>
      <c r="O37" s="265" t="s">
        <v>81</v>
      </c>
      <c r="P37" s="285"/>
      <c r="Q37" s="56"/>
      <c r="R37" s="262"/>
      <c r="S37" s="262"/>
      <c r="T37" s="518" t="str">
        <f t="shared" si="0"/>
        <v>Horticulture</v>
      </c>
      <c r="U37" s="518"/>
      <c r="V37" s="518"/>
      <c r="W37" s="518"/>
      <c r="X37" s="518"/>
      <c r="Y37" s="358" t="s">
        <v>62</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Tables'!AM10,'Data Tables'!AN10),IF($Y$23="575-600",IF($Y$24="Yes",'Data Tables'!AM10,'Data Tables'!AN10),IF($Y$23="600-625",IF($Y$24="Yes",'Data Tables'!AM10,'Data Tables'!AN10),IF($Y$23="625-650",IF($Y$24="Yes",'Data Tables'!AM10,'Data Tables'!AN10),IF($Y$23="650-675",IF($Y$24="Yes",'Data Tables'!AM10,'Data Tables'!AN10),IF($Y$23="675-700",IF($Y$24="Yes",'Data Tables'!AM10,'Data Tables'!AN10),IF($Y$23="700-750",IF($Y$24="Yes",'Data Tables'!AS10,'Data Tables'!AT10),IF($Y$23="750-800",IF($Y$24="Yes",'Data Tables'!AS10,'Data Tables'!AT10),IF($Y$23="800-850",IF($Y$24="Yes",'Data Tables'!AS10,'Data Tables'!AT10),IF($Y$24="Yes",'Data Tables'!AS10,'Data Tables'!AT10)))))))))),IF($Y$22="Impermeable - drained for arable",IF($Y$23="550-575",IF($Y$24="Yes",'Data Tables'!AO10,'Data Tables'!AP10),IF($Y$23="575-600",IF($Y$24="Yes",'Data Tables'!AO10,'Data Tables'!AP10),IF($Y$23="600-625",IF($Y$24="Yes",'Data Tables'!AO10,'Data Tables'!AP10),IF($Y$23="625-650",IF($Y$24="Yes",'Data Tables'!AO10,'Data Tables'!AP10),IF($Y$23="650-675",IF($Y$24="Yes",'Data Tables'!AO10,'Data Tables'!AP10),IF($Y$23="675-700",IF($Y$24="Yes",'Data Tables'!AO10,'Data Tables'!AP10),IF($Y$23="700-750",IF($Y$24="Yes",'Data Tables'!AU10,'Data Tables'!AV10),IF($Y$23="750-800",IF($Y$24="Yes",'Data Tables'!AU10,'Data Tables'!AV10),IF($Y$23="800-850",IF($Y$24="Yes",'Data Tables'!AU10,'Data Tables'!AV10),IF($Y$24="Yes",'Data Tables'!AU10,'Data Tables'!AV10)))))))))),IF($Y$23="550-575",IF($Y$24="Yes",'Data Tables'!AQ10,'Data Tables'!AR10),IF($Y$23="575-600",IF($Y$24="Yes",'Data Tables'!AQ10,'Data Tables'!AR10),IF($Y$23="600-625",IF($Y$24="Yes",'Data Tables'!AQ10,'Data Tables'!AR10),IF($Y$23="625-650",IF($Y$24="Yes",'Data Tables'!AQ10,'Data Tables'!AR10),IF($Y$23="650-675",IF($Y$24="Yes",'Data Tables'!AQ10,'Data Tables'!AR10),IF($Y$23="675-700",IF($Y$24="Yes",'Data Tables'!AQ10,'Data Tables'!AR10),IF($Y$23="700-750",IF($Y$24="Yes",'Data Tables'!AW10,'Data Tables'!AX10),IF($Y$23="750-800",IF($Y$24="Yes",'Data Tables'!AW10,'Data Tables'!AX10),IF($Y$23="800-850",IF($Y$24="Yes",'Data Tables'!AW10,'Data Tables'!AX10),IF($Y$24="Yes",'Data Tables'!AW10,'Data Tables'!AX10))))))))))))),IF($Y$21="Yare",(IF($Y$22="Freely draining",IF($Y$23="550-575",IF($Y$24="Yes",'Data Tables'!AM21,'Data Tables'!AN21),IF($Y$23="575-600",IF($Y$24="Yes",'Data Tables'!AM21,'Data Tables'!AN21),IF($Y$23="600-625",IF($Y$24="Yes",'Data Tables'!AM21,'Data Tables'!AN21),IF($Y$23="625-650",IF($Y$24="Yes",'Data Tables'!AM21,'Data Tables'!AN21),IF($Y$23="650-675",IF($Y$24="Yes",'Data Tables'!AM21,'Data Tables'!AN21),IF($Y$23="675-700",IF($Y$24="Yes",'Data Tables'!AM21,'Data Tables'!AN21),IF($Y$23="700-750",IF($Y$24="Yes",'Data Tables'!AS21,'Data Tables'!AT21),IF($Y$23="750-800",IF($Y$24="Yes",'Data Tables'!AS21,'Data Tables'!AT21),IF($Y$23="800-850",IF($Y$24="Yes",'Data Tables'!AS21,'Data Tables'!AT21),IF($Y$24="Yes",'Data Tables'!AS21,'Data Tables'!AT21)))))))))),IF($Y$22="Impermeable - drained for arable",IF($Y$23="550-575",IF($Y$24="Yes",'Data Tables'!AO21,'Data Tables'!AP21),IF($Y$23="575-600",IF($Y$24="Yes",'Data Tables'!AO21,'Data Tables'!AP21),IF($Y$23="600-625",IF($Y$24="Yes",'Data Tables'!AO21,'Data Tables'!AP21),IF($Y$23="625-650",IF($Y$24="Yes",'Data Tables'!AO21,'Data Tables'!AP21),IF($Y$23="650-675",IF($Y$24="Yes",'Data Tables'!AO21,'Data Tables'!AP21),IF($Y$23="675-700",IF($Y$24="Yes",'Data Tables'!AO21,'Data Tables'!AP21),IF($Y$23="700-750",IF($Y$24="Yes",'Data Tables'!AU21,'Data Tables'!AV21),IF($Y$23="750-800",IF($Y$24="Yes",'Data Tables'!AU21,'Data Tables'!AV21),IF($Y$23="800-850",IF($Y$24="Yes",'Data Tables'!AU21,'Data Tables'!AV21),IF($Y$24="Yes",'Data Tables'!AU21,'Data Tables'!AV21)))))))))),IF($Y$23="550-575",IF($Y$24="Yes",'Data Tables'!AQ21,'Data Tables'!AR21),IF($Y$23="575-600",IF($Y$24="Yes",'Data Tables'!AQ21,'Data Tables'!AR21),IF($Y$23="600-625",IF($Y$24="Yes",'Data Tables'!AQ21,'Data Tables'!AR21),IF($Y$23="625-650",IF($Y$24="Yes",'Data Tables'!AQ21,'Data Tables'!AR21),IF($Y$23="650-675",IF($Y$24="Yes",'Data Tables'!AQ21,'Data Tables'!AR21),IF($Y$23="675-700",IF($Y$24="Yes",'Data Tables'!AQ21,'Data Tables'!AR21),IF($Y$23="700-750",IF($Y$24="Yes",'Data Tables'!AW21,'Data Tables'!AX21),IF($Y$23="750-800",IF($Y$24="Yes",'Data Tables'!AW21,'Data Tables'!AX21),IF($Y$23="800-850",IF($Y$24="Yes",'Data Tables'!AW21,'Data Tables'!AX21),IF($Y$24="Yes",'Data Tables'!AW21,'Data Tables'!AX21))))))))))))),(IF($Y$22="Freely draining",IF($Y$23="550-575",IF($Y$24="Yes",'Data Tables'!AG32,'Data Tables'!AH32),IF($Y$23="575-600",IF($Y$24="Yes",'Data Tables'!AG32,'Data Tables'!AH32),IF($Y$23="600-625",IF($Y$24="Yes",'Data Tables'!AM32,'Data Tables'!AN32),IF($Y$23="625-650",IF($Y$24="Yes",'Data Tables'!AM32,'Data Tables'!AN32),IF($Y$23="650-675",IF($Y$24="Yes",'Data Tables'!AM32,'Data Tables'!AN32),IF($Y$23="675-700",IF($Y$24="Yes",'Data Tables'!AM32,'Data Tables'!AN32),IF($Y$23="700-750",IF($Y$24="Yes",'Data Tables'!AS32,'Data Tables'!AT32),IF($Y$23="750-800",IF($Y$24="Yes",'Data Tables'!AS32,'Data Tables'!AT32),IF($Y$23="800-850",IF($Y$24="Yes",'Data Tables'!AS32,'Data Tables'!AT32),IF($Y$24="Yes",'Data Tables'!AS32,'Data Tables'!AT32)))))))))),IF($Y$22="Impermeable - drained for arable",IF($Y$23="550-575",IF($Y$24="Yes",'Data Tables'!AI32,'Data Tables'!AJ32),IF($Y$23="575-600",IF($Y$24="Yes",'Data Tables'!AI32,'Data Tables'!AJ32),IF($Y$23="600-625",IF($Y$24="Yes",'Data Tables'!AO32,'Data Tables'!AP32),IF($Y$23="625-650",IF($Y$24="Yes",'Data Tables'!AO32,'Data Tables'!AP32),IF($Y$23="650-675",IF($Y$24="Yes",'Data Tables'!AO32,'Data Tables'!AP32),IF($Y$23="675-700",IF($Y$24="Yes",'Data Tables'!AO32,'Data Tables'!AP32),IF($Y$23="700-750",IF($Y$24="Yes",'Data Tables'!AU32,'Data Tables'!AV32),IF($Y$23="750-800",IF($Y$24="Yes",'Data Tables'!AU32,'Data Tables'!AV32),IF($Y$23="800-850",IF($Y$24="Yes",'Data Tables'!AU32,'Data Tables'!AV32),IF($Y$24="Yes",'Data Tables'!AU32,'Data Tables'!AV32)))))))))),IF($Y$23="550-575",IF($Y$24="Yes",'Data Tables'!AK32,'Data Tables'!AL32),IF($Y$23="575-600",IF($Y$24="Yes",'Data Tables'!AK32,'Data Tables'!AL32),IF($Y$23="600-625",IF($Y$24="Yes",'Data Tables'!AQ32,'Data Tables'!AR32),IF($Y$23="625-650",IF($Y$24="Yes",'Data Tables'!AQ32,'Data Tables'!AR32),IF($Y$23="650-675",IF($Y$24="Yes",'Data Tables'!AQ32,'Data Tables'!AR32),IF($Y$23="675-700",IF($Y$24="Yes",'Data Tables'!AQ32,'Data Tables'!AR32),IF($Y$23="700-750",IF($Y$24="Yes",'Data Tables'!AW32,'Data Tables'!AX32),IF($Y$23="750-800",IF($Y$24="Yes",'Data Tables'!AW32,'Data Tables'!AX32),IF($Y$23="800-850",IF($Y$24="Yes",'Data Tables'!AW32,'Data Tables'!AX32),IF($Y$24="Yes",'Data Tables'!AW32,'Data Tables'!AX32))))))))))))))),0),"")</f>
        <v/>
      </c>
      <c r="AC37" s="357"/>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 customHeight="1" x14ac:dyDescent="0.35">
      <c r="B38" s="52"/>
      <c r="C38" s="48"/>
      <c r="D38" s="250"/>
      <c r="E38" s="518" t="str">
        <f>'Stage 2'!F33</f>
        <v>Cereals</v>
      </c>
      <c r="F38" s="518"/>
      <c r="G38" s="518"/>
      <c r="H38" s="518"/>
      <c r="I38" s="518"/>
      <c r="J38" s="56"/>
      <c r="K38" s="363" t="str">
        <f>IF('Stage 2'!$K33&gt;0,'Stage 2'!O33/'Stage 2'!$K33,"")</f>
        <v/>
      </c>
      <c r="L38" s="365"/>
      <c r="M38" s="304" t="str">
        <f>IF('Stage 2'!$K33&gt;0,'Stage 2'!Q33/'Stage 2'!$K33,"")</f>
        <v/>
      </c>
      <c r="N38" s="358" t="s">
        <v>62</v>
      </c>
      <c r="O38" s="265" t="s">
        <v>81</v>
      </c>
      <c r="P38" s="285"/>
      <c r="Q38" s="56"/>
      <c r="R38" s="262"/>
      <c r="S38" s="262"/>
      <c r="T38" s="518" t="str">
        <f t="shared" si="0"/>
        <v>Cereals</v>
      </c>
      <c r="U38" s="518"/>
      <c r="V38" s="518"/>
      <c r="W38" s="518"/>
      <c r="X38" s="518"/>
      <c r="Y38" s="358" t="s">
        <v>62</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Tables'!AM11,'Data Tables'!AN11),IF($Y$23="575-600",IF($Y$24="Yes",'Data Tables'!AM11,'Data Tables'!AN11),IF($Y$23="600-625",IF($Y$24="Yes",'Data Tables'!AM11,'Data Tables'!AN11),IF($Y$23="625-650",IF($Y$24="Yes",'Data Tables'!AM11,'Data Tables'!AN11),IF($Y$23="650-675",IF($Y$24="Yes",'Data Tables'!AM11,'Data Tables'!AN11),IF($Y$23="675-700",IF($Y$24="Yes",'Data Tables'!AM11,'Data Tables'!AN11),IF($Y$23="700-750",IF($Y$24="Yes",'Data Tables'!AS11,'Data Tables'!AT11),IF($Y$23="750-800",IF($Y$24="Yes",'Data Tables'!AS11,'Data Tables'!AT11),IF($Y$23="800-850",IF($Y$24="Yes",'Data Tables'!AS11,'Data Tables'!AT11),IF($Y$24="Yes",'Data Tables'!AS11,'Data Tables'!AT11)))))))))),IF($Y$22="Impermeable - drained for arable",IF($Y$23="550-575",IF($Y$24="Yes",'Data Tables'!AO11,'Data Tables'!AP11),IF($Y$23="575-600",IF($Y$24="Yes",'Data Tables'!AO11,'Data Tables'!AP11),IF($Y$23="600-625",IF($Y$24="Yes",'Data Tables'!AO11,'Data Tables'!AP11),IF($Y$23="625-650",IF($Y$24="Yes",'Data Tables'!AO11,'Data Tables'!AP11),IF($Y$23="650-675",IF($Y$24="Yes",'Data Tables'!AO11,'Data Tables'!AP11),IF($Y$23="675-700",IF($Y$24="Yes",'Data Tables'!AO11,'Data Tables'!AP11),IF($Y$23="700-750",IF($Y$24="Yes",'Data Tables'!AU11,'Data Tables'!AV11),IF($Y$23="750-800",IF($Y$24="Yes",'Data Tables'!AU11,'Data Tables'!AV11),IF($Y$23="800-850",IF($Y$24="Yes",'Data Tables'!AU11,'Data Tables'!AV11),IF($Y$24="Yes",'Data Tables'!AU11,'Data Tables'!AV11)))))))))),IF($Y$23="550-575",IF($Y$24="Yes",'Data Tables'!AQ11,'Data Tables'!AR11),IF($Y$23="575-600",IF($Y$24="Yes",'Data Tables'!AQ11,'Data Tables'!AR11),IF($Y$23="600-625",IF($Y$24="Yes",'Data Tables'!AQ11,'Data Tables'!AR11),IF($Y$23="625-650",IF($Y$24="Yes",'Data Tables'!AQ11,'Data Tables'!AR11),IF($Y$23="650-675",IF($Y$24="Yes",'Data Tables'!AQ11,'Data Tables'!AR11),IF($Y$23="675-700",IF($Y$24="Yes",'Data Tables'!AQ11,'Data Tables'!AR11),IF($Y$23="700-750",IF($Y$24="Yes",'Data Tables'!AW11,'Data Tables'!AX11),IF($Y$23="750-800",IF($Y$24="Yes",'Data Tables'!AW11,'Data Tables'!AX11),IF($Y$23="800-850",IF($Y$24="Yes",'Data Tables'!AW11,'Data Tables'!AX11),IF($Y$24="Yes",'Data Tables'!AW11,'Data Tables'!AX11))))))))))))),IF($Y$21="Yare",(IF($Y$22="Freely draining",IF($Y$23="550-575",IF($Y$24="Yes",'Data Tables'!AM22,'Data Tables'!AN22),IF($Y$23="575-600",IF($Y$24="Yes",'Data Tables'!AM22,'Data Tables'!AN22),IF($Y$23="600-625",IF($Y$24="Yes",'Data Tables'!AM22,'Data Tables'!AN22),IF($Y$23="625-650",IF($Y$24="Yes",'Data Tables'!AM22,'Data Tables'!AN22),IF($Y$23="650-675",IF($Y$24="Yes",'Data Tables'!AM22,'Data Tables'!AN22),IF($Y$23="675-700",IF($Y$24="Yes",'Data Tables'!AM22,'Data Tables'!AN22),IF($Y$23="700-750",IF($Y$24="Yes",'Data Tables'!AS22,'Data Tables'!AT22),IF($Y$23="750-800",IF($Y$24="Yes",'Data Tables'!AS22,'Data Tables'!AT22),IF($Y$23="800-850",IF($Y$24="Yes",'Data Tables'!AS22,'Data Tables'!AT22),IF($Y$24="Yes",'Data Tables'!AS22,'Data Tables'!AT22)))))))))),IF($Y$22="Impermeable - drained for arable",IF($Y$23="550-575",IF($Y$24="Yes",'Data Tables'!AO22,'Data Tables'!AP22),IF($Y$23="575-600",IF($Y$24="Yes",'Data Tables'!AO22,'Data Tables'!AP22),IF($Y$23="600-625",IF($Y$24="Yes",'Data Tables'!AO22,'Data Tables'!AP22),IF($Y$23="625-650",IF($Y$24="Yes",'Data Tables'!AO22,'Data Tables'!AP22),IF($Y$23="650-675",IF($Y$24="Yes",'Data Tables'!AO22,'Data Tables'!AP22),IF($Y$23="675-700",IF($Y$24="Yes",'Data Tables'!AO22,'Data Tables'!AP22),IF($Y$23="700-750",IF($Y$24="Yes",'Data Tables'!AU22,'Data Tables'!AV22),IF($Y$23="750-800",IF($Y$24="Yes",'Data Tables'!AU22,'Data Tables'!AV22),IF($Y$23="800-850",IF($Y$24="Yes",'Data Tables'!AU22,'Data Tables'!AV22),IF($Y$24="Yes",'Data Tables'!AU22,'Data Tables'!AV22)))))))))),IF($Y$23="550-575",IF($Y$24="Yes",'Data Tables'!AQ22,'Data Tables'!AR22),IF($Y$23="575-600",IF($Y$24="Yes",'Data Tables'!AQ22,'Data Tables'!AR22),IF($Y$23="600-625",IF($Y$24="Yes",'Data Tables'!AQ22,'Data Tables'!AR22),IF($Y$23="625-650",IF($Y$24="Yes",'Data Tables'!AQ22,'Data Tables'!AR22),IF($Y$23="650-675",IF($Y$24="Yes",'Data Tables'!AQ22,'Data Tables'!AR22),IF($Y$23="675-700",IF($Y$24="Yes",'Data Tables'!AQ22,'Data Tables'!AR22),IF($Y$23="700-750",IF($Y$24="Yes",'Data Tables'!AW22,'Data Tables'!AX22),IF($Y$23="750-800",IF($Y$24="Yes",'Data Tables'!AW22,'Data Tables'!AX22),IF($Y$23="800-850",IF($Y$24="Yes",'Data Tables'!AW22,'Data Tables'!AX22),IF($Y$24="Yes",'Data Tables'!AW22,'Data Tables'!AX22))))))))))))),(IF($Y$22="Freely draining",IF($Y$23="550-575",IF($Y$24="Yes",'Data Tables'!AG33,'Data Tables'!AH33),IF($Y$23="575-600",IF($Y$24="Yes",'Data Tables'!AG33,'Data Tables'!AH33),IF($Y$23="600-625",IF($Y$24="Yes",'Data Tables'!AM33,'Data Tables'!AN33),IF($Y$23="625-650",IF($Y$24="Yes",'Data Tables'!AM33,'Data Tables'!AN33),IF($Y$23="650-675",IF($Y$24="Yes",'Data Tables'!AM33,'Data Tables'!AN33),IF($Y$23="675-700",IF($Y$24="Yes",'Data Tables'!AM33,'Data Tables'!AN33),IF($Y$23="700-750",IF($Y$24="Yes",'Data Tables'!AS33,'Data Tables'!AT33),IF($Y$23="750-800",IF($Y$24="Yes",'Data Tables'!AS33,'Data Tables'!AT33),IF($Y$23="800-850",IF($Y$24="Yes",'Data Tables'!AS33,'Data Tables'!AT33),IF($Y$24="Yes",'Data Tables'!AS33,'Data Tables'!AT33)))))))))),IF($Y$22="Impermeable - drained for arable",IF($Y$23="550-575",IF($Y$24="Yes",'Data Tables'!AI33,'Data Tables'!AJ33),IF($Y$23="575-600",IF($Y$24="Yes",'Data Tables'!AI33,'Data Tables'!AJ33),IF($Y$23="600-625",IF($Y$24="Yes",'Data Tables'!AO33,'Data Tables'!AP33),IF($Y$23="625-650",IF($Y$24="Yes",'Data Tables'!AO33,'Data Tables'!AP33),IF($Y$23="650-675",IF($Y$24="Yes",'Data Tables'!AO33,'Data Tables'!AP33),IF($Y$23="675-700",IF($Y$24="Yes",'Data Tables'!AO33,'Data Tables'!AP33),IF($Y$23="700-750",IF($Y$24="Yes",'Data Tables'!AU33,'Data Tables'!AV33),IF($Y$23="750-800",IF($Y$24="Yes",'Data Tables'!AU33,'Data Tables'!AV33),IF($Y$23="800-850",IF($Y$24="Yes",'Data Tables'!AU33,'Data Tables'!AV33),IF($Y$24="Yes",'Data Tables'!AU33,'Data Tables'!AV33)))))))))),IF($Y$23="550-575",IF($Y$24="Yes",'Data Tables'!AK33,'Data Tables'!AL33),IF($Y$23="575-600",IF($Y$24="Yes",'Data Tables'!AK33,'Data Tables'!AL33),IF($Y$23="600-625",IF($Y$24="Yes",'Data Tables'!AQ33,'Data Tables'!AR33),IF($Y$23="625-650",IF($Y$24="Yes",'Data Tables'!AQ33,'Data Tables'!AR33),IF($Y$23="650-675",IF($Y$24="Yes",'Data Tables'!AQ33,'Data Tables'!AR33),IF($Y$23="675-700",IF($Y$24="Yes",'Data Tables'!AQ33,'Data Tables'!AR33),IF($Y$23="700-750",IF($Y$24="Yes",'Data Tables'!AW33,'Data Tables'!AX33),IF($Y$23="750-800",IF($Y$24="Yes",'Data Tables'!AW33,'Data Tables'!AX33),IF($Y$23="800-850",IF($Y$24="Yes",'Data Tables'!AW33,'Data Tables'!AX33),IF($Y$24="Yes",'Data Tables'!AW33,'Data Tables'!AX33))))))))))))))),0),"")</f>
        <v/>
      </c>
      <c r="AC38" s="357"/>
      <c r="AD38" s="14"/>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 customHeight="1" x14ac:dyDescent="0.35">
      <c r="B39" s="52"/>
      <c r="C39" s="48"/>
      <c r="D39" s="250"/>
      <c r="E39" s="518" t="str">
        <f>'Stage 2'!F34</f>
        <v>General arable</v>
      </c>
      <c r="F39" s="518"/>
      <c r="G39" s="518"/>
      <c r="H39" s="518"/>
      <c r="I39" s="518"/>
      <c r="J39" s="56"/>
      <c r="K39" s="363" t="str">
        <f>IF('Stage 2'!$K34&gt;0,'Stage 2'!O34/'Stage 2'!$K34,"")</f>
        <v/>
      </c>
      <c r="L39" s="365"/>
      <c r="M39" s="304" t="str">
        <f>IF('Stage 2'!$K34&gt;0,'Stage 2'!Q34/'Stage 2'!$K34,"")</f>
        <v/>
      </c>
      <c r="N39" s="358" t="s">
        <v>62</v>
      </c>
      <c r="O39" s="265" t="s">
        <v>81</v>
      </c>
      <c r="P39" s="285"/>
      <c r="Q39" s="56"/>
      <c r="R39" s="262"/>
      <c r="S39" s="262"/>
      <c r="T39" s="518" t="str">
        <f t="shared" si="0"/>
        <v>General arable</v>
      </c>
      <c r="U39" s="518"/>
      <c r="V39" s="518"/>
      <c r="W39" s="518"/>
      <c r="X39" s="518"/>
      <c r="Y39" s="358" t="s">
        <v>62</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Tables'!AM12,'Data Tables'!AN12),IF($Y$23="575-600",IF($Y$24="Yes",'Data Tables'!AM12,'Data Tables'!AN12),IF($Y$23="600-625",IF($Y$24="Yes",'Data Tables'!AM12,'Data Tables'!AN12),IF($Y$23="625-650",IF($Y$24="Yes",'Data Tables'!AM12,'Data Tables'!AN12),IF($Y$23="650-675",IF($Y$24="Yes",'Data Tables'!AM12,'Data Tables'!AN12),IF($Y$23="675-700",IF($Y$24="Yes",'Data Tables'!AM12,'Data Tables'!AN12),IF($Y$23="700-750",IF($Y$24="Yes",'Data Tables'!AS12,'Data Tables'!AT12),IF($Y$23="750-800",IF($Y$24="Yes",'Data Tables'!AS12,'Data Tables'!AT12),IF($Y$23="800-850",IF($Y$24="Yes",'Data Tables'!AS12,'Data Tables'!AT12),IF($Y$24="Yes",'Data Tables'!AS12,'Data Tables'!AT12)))))))))),IF($Y$22="Impermeable - drained for arable",IF($Y$23="550-575",IF($Y$24="Yes",'Data Tables'!AO12,'Data Tables'!AP12),IF($Y$23="575-600",IF($Y$24="Yes",'Data Tables'!AO12,'Data Tables'!AP12),IF($Y$23="600-625",IF($Y$24="Yes",'Data Tables'!AO12,'Data Tables'!AP12),IF($Y$23="625-650",IF($Y$24="Yes",'Data Tables'!AO12,'Data Tables'!AP12),IF($Y$23="650-675",IF($Y$24="Yes",'Data Tables'!AO12,'Data Tables'!AP12),IF($Y$23="675-700",IF($Y$24="Yes",'Data Tables'!AO12,'Data Tables'!AP12),IF($Y$23="700-750",IF($Y$24="Yes",'Data Tables'!AU12,'Data Tables'!AV12),IF($Y$23="750-800",IF($Y$24="Yes",'Data Tables'!AU12,'Data Tables'!AV12),IF($Y$23="800-850",IF($Y$24="Yes",'Data Tables'!AU12,'Data Tables'!AV12),IF($Y$24="Yes",'Data Tables'!AU12,'Data Tables'!AV12)))))))))),IF($Y$23="550-575",IF($Y$24="Yes",'Data Tables'!AQ12,'Data Tables'!AR12),IF($Y$23="575-600",IF($Y$24="Yes",'Data Tables'!AQ12,'Data Tables'!AR12),IF($Y$23="600-625",IF($Y$24="Yes",'Data Tables'!AQ12,'Data Tables'!AR12),IF($Y$23="625-650",IF($Y$24="Yes",'Data Tables'!AQ12,'Data Tables'!AR12),IF($Y$23="650-675",IF($Y$24="Yes",'Data Tables'!AQ12,'Data Tables'!AR12),IF($Y$23="675-700",IF($Y$24="Yes",'Data Tables'!AQ12,'Data Tables'!AR12),IF($Y$23="700-750",IF($Y$24="Yes",'Data Tables'!AW12,'Data Tables'!AX12),IF($Y$23="750-800",IF($Y$24="Yes",'Data Tables'!AW12,'Data Tables'!AX12),IF($Y$23="800-850",IF($Y$24="Yes",'Data Tables'!AW12,'Data Tables'!AX12),IF($Y$24="Yes",'Data Tables'!AW12,'Data Tables'!AX12))))))))))))),IF($Y$21="Yare",(IF($Y$22="Freely draining",IF($Y$23="550-575",IF($Y$24="Yes",'Data Tables'!AM23,'Data Tables'!AN23),IF($Y$23="575-600",IF($Y$24="Yes",'Data Tables'!AM23,'Data Tables'!AN23),IF($Y$23="600-625",IF($Y$24="Yes",'Data Tables'!AM23,'Data Tables'!AN23),IF($Y$23="625-650",IF($Y$24="Yes",'Data Tables'!AM23,'Data Tables'!AN23),IF($Y$23="650-675",IF($Y$24="Yes",'Data Tables'!AM23,'Data Tables'!AN23),IF($Y$23="675-700",IF($Y$24="Yes",'Data Tables'!AM23,'Data Tables'!AN23),IF($Y$23="700-750",IF($Y$24="Yes",'Data Tables'!AS23,'Data Tables'!AT23),IF($Y$23="750-800",IF($Y$24="Yes",'Data Tables'!AS23,'Data Tables'!AT23),IF($Y$23="800-850",IF($Y$24="Yes",'Data Tables'!AS23,'Data Tables'!AT23),IF($Y$24="Yes",'Data Tables'!AS23,'Data Tables'!AT23)))))))))),IF($Y$22="Impermeable - drained for arable",IF($Y$23="550-575",IF($Y$24="Yes",'Data Tables'!AO23,'Data Tables'!AP23),IF($Y$23="575-600",IF($Y$24="Yes",'Data Tables'!AO23,'Data Tables'!AP23),IF($Y$23="600-625",IF($Y$24="Yes",'Data Tables'!AO23,'Data Tables'!AP23),IF($Y$23="625-650",IF($Y$24="Yes",'Data Tables'!AO23,'Data Tables'!AP23),IF($Y$23="650-675",IF($Y$24="Yes",'Data Tables'!AO23,'Data Tables'!AP23),IF($Y$23="675-700",IF($Y$24="Yes",'Data Tables'!AO23,'Data Tables'!AP23),IF($Y$23="700-750",IF($Y$24="Yes",'Data Tables'!AU23,'Data Tables'!AV23),IF($Y$23="750-800",IF($Y$24="Yes",'Data Tables'!AU23,'Data Tables'!AV23),IF($Y$23="800-850",IF($Y$24="Yes",'Data Tables'!AU23,'Data Tables'!AV23),IF($Y$24="Yes",'Data Tables'!AU23,'Data Tables'!AV23)))))))))),IF($Y$23="550-575",IF($Y$24="Yes",'Data Tables'!AQ23,'Data Tables'!AR23),IF($Y$23="575-600",IF($Y$24="Yes",'Data Tables'!AQ23,'Data Tables'!AR23),IF($Y$23="600-625",IF($Y$24="Yes",'Data Tables'!AQ23,'Data Tables'!AR23),IF($Y$23="625-650",IF($Y$24="Yes",'Data Tables'!AQ23,'Data Tables'!AR23),IF($Y$23="650-675",IF($Y$24="Yes",'Data Tables'!AQ23,'Data Tables'!AR23),IF($Y$23="675-700",IF($Y$24="Yes",'Data Tables'!AQ23,'Data Tables'!AR23),IF($Y$23="700-750",IF($Y$24="Yes",'Data Tables'!AW23,'Data Tables'!AX23),IF($Y$23="750-800",IF($Y$24="Yes",'Data Tables'!AW23,'Data Tables'!AX23),IF($Y$23="800-850",IF($Y$24="Yes",'Data Tables'!AW23,'Data Tables'!AX23),IF($Y$24="Yes",'Data Tables'!AW23,'Data Tables'!AX23))))))))))))),(IF($Y$22="Freely draining",IF($Y$23="550-575",IF($Y$24="Yes",'Data Tables'!AG34,'Data Tables'!AH34),IF($Y$23="575-600",IF($Y$24="Yes",'Data Tables'!AG34,'Data Tables'!AH34),IF($Y$23="600-625",IF($Y$24="Yes",'Data Tables'!AM34,'Data Tables'!AN34),IF($Y$23="625-650",IF($Y$24="Yes",'Data Tables'!AM34,'Data Tables'!AN34),IF($Y$23="650-675",IF($Y$24="Yes",'Data Tables'!AM34,'Data Tables'!AN34),IF($Y$23="675-700",IF($Y$24="Yes",'Data Tables'!AM34,'Data Tables'!AN34),IF($Y$23="700-750",IF($Y$24="Yes",'Data Tables'!AS34,'Data Tables'!AT34),IF($Y$23="750-800",IF($Y$24="Yes",'Data Tables'!AS34,'Data Tables'!AT34),IF($Y$23="800-850",IF($Y$24="Yes",'Data Tables'!AS34,'Data Tables'!AT34),IF($Y$24="Yes",'Data Tables'!AS34,'Data Tables'!AT34)))))))))),IF($Y$22="Impermeable - drained for arable",IF($Y$23="550-575",IF($Y$24="Yes",'Data Tables'!AI34,'Data Tables'!AJ34),IF($Y$23="575-600",IF($Y$24="Yes",'Data Tables'!AI34,'Data Tables'!AJ34),IF($Y$23="600-625",IF($Y$24="Yes",'Data Tables'!AO34,'Data Tables'!AP34),IF($Y$23="625-650",IF($Y$24="Yes",'Data Tables'!AO34,'Data Tables'!AP34),IF($Y$23="650-675",IF($Y$24="Yes",'Data Tables'!AO34,'Data Tables'!AP34),IF($Y$23="675-700",IF($Y$24="Yes",'Data Tables'!AO34,'Data Tables'!AP34),IF($Y$23="700-750",IF($Y$24="Yes",'Data Tables'!AU34,'Data Tables'!AV34),IF($Y$23="750-800",IF($Y$24="Yes",'Data Tables'!AU34,'Data Tables'!AV34),IF($Y$23="800-850",IF($Y$24="Yes",'Data Tables'!AU34,'Data Tables'!AV34),IF($Y$24="Yes",'Data Tables'!AU34,'Data Tables'!AV34)))))))))),IF($Y$23="550-575",IF($Y$24="Yes",'Data Tables'!AK34,'Data Tables'!AL34),IF($Y$23="575-600",IF($Y$24="Yes",'Data Tables'!AK34,'Data Tables'!AL34),IF($Y$23="600-625",IF($Y$24="Yes",'Data Tables'!AQ34,'Data Tables'!AR34),IF($Y$23="625-650",IF($Y$24="Yes",'Data Tables'!AQ34,'Data Tables'!AR34),IF($Y$23="650-675",IF($Y$24="Yes",'Data Tables'!AQ34,'Data Tables'!AR34),IF($Y$23="675-700",IF($Y$24="Yes",'Data Tables'!AQ34,'Data Tables'!AR34),IF($Y$23="700-750",IF($Y$24="Yes",'Data Tables'!AW34,'Data Tables'!AX34),IF($Y$23="750-800",IF($Y$24="Yes",'Data Tables'!AW34,'Data Tables'!AX34),IF($Y$23="800-850",IF($Y$24="Yes",'Data Tables'!AW34,'Data Tables'!AX34),IF($Y$24="Yes",'Data Tables'!AW34,'Data Tables'!AX34))))))))))))))),0),"")</f>
        <v/>
      </c>
      <c r="AC39" s="357"/>
      <c r="AD39" s="14"/>
      <c r="AF39" s="107"/>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 customHeight="1" x14ac:dyDescent="0.35">
      <c r="B40" s="52"/>
      <c r="C40" s="48"/>
      <c r="D40" s="250"/>
      <c r="E40" s="518" t="str">
        <f>'Stage 2'!F35</f>
        <v>Allotments and city farms</v>
      </c>
      <c r="F40" s="518"/>
      <c r="G40" s="518"/>
      <c r="H40" s="518"/>
      <c r="I40" s="518"/>
      <c r="J40" s="56"/>
      <c r="K40" s="323" t="str">
        <f>IF('Stage 2'!K35&gt;0,'Data Tables'!O3,"")</f>
        <v/>
      </c>
      <c r="L40" s="297"/>
      <c r="M40" s="304"/>
      <c r="N40" s="358" t="s">
        <v>62</v>
      </c>
      <c r="O40" s="265" t="s">
        <v>81</v>
      </c>
      <c r="P40" s="285"/>
      <c r="Q40" s="56"/>
      <c r="R40" s="262"/>
      <c r="S40" s="262"/>
      <c r="T40" s="518" t="str">
        <f t="shared" si="0"/>
        <v>Allotments and city farms</v>
      </c>
      <c r="U40" s="518"/>
      <c r="V40" s="518"/>
      <c r="W40" s="518"/>
      <c r="X40" s="518"/>
      <c r="Y40" s="358" t="s">
        <v>62</v>
      </c>
      <c r="Z40" s="262"/>
      <c r="AA40" s="322" t="str">
        <f>IF($Y$16="Yes",(IF(Y40="Yes",'Data Tables'!O3,0)),"")</f>
        <v/>
      </c>
      <c r="AB40" s="322" t="str">
        <f>IF($Y$16="Yes",(IF(Z40="Yes",'Data Tables'!P3,0)),"")</f>
        <v/>
      </c>
      <c r="AC40" s="357"/>
      <c r="AD40" s="14"/>
      <c r="AE40" s="16"/>
      <c r="AF40" s="16"/>
      <c r="AG40" s="16"/>
      <c r="AH40" s="16"/>
      <c r="AI40" s="16"/>
      <c r="AJ40" s="16"/>
      <c r="AK40" s="16"/>
      <c r="AL40" s="16"/>
    </row>
    <row r="41" spans="2:53" ht="16" customHeight="1" x14ac:dyDescent="0.35">
      <c r="B41" s="52"/>
      <c r="C41" s="48"/>
      <c r="D41" s="250"/>
      <c r="E41" s="518" t="str">
        <f>'Stage 2'!F36</f>
        <v>Woodland (e.g. conifer, mixed, broad-leaved)</v>
      </c>
      <c r="F41" s="518"/>
      <c r="G41" s="518"/>
      <c r="H41" s="518"/>
      <c r="I41" s="518"/>
      <c r="J41" s="56"/>
      <c r="K41" s="323" t="str">
        <f>IF('Stage 2'!K36&gt;0,'Data Tables'!O5,"")</f>
        <v/>
      </c>
      <c r="L41" s="297"/>
      <c r="M41" s="304"/>
      <c r="N41" s="358" t="s">
        <v>62</v>
      </c>
      <c r="O41" s="265" t="s">
        <v>81</v>
      </c>
      <c r="P41" s="285"/>
      <c r="Q41" s="56"/>
      <c r="R41" s="262"/>
      <c r="S41" s="262"/>
      <c r="T41" s="518" t="str">
        <f t="shared" si="0"/>
        <v>Woodland (e.g. conifer, mixed, broad-leaved)</v>
      </c>
      <c r="U41" s="518"/>
      <c r="V41" s="518"/>
      <c r="W41" s="518"/>
      <c r="X41" s="518"/>
      <c r="Y41" s="358" t="s">
        <v>62</v>
      </c>
      <c r="Z41" s="262"/>
      <c r="AA41" s="322" t="str">
        <f>IF($Y$16="Yes",(IF(Y41="Yes",'Data Tables'!O5,0)),"")</f>
        <v/>
      </c>
      <c r="AB41" s="322" t="str">
        <f>IF($Y$16="Yes",(IF(Z41="Yes",'Data Tables'!P5,0)),"")</f>
        <v/>
      </c>
      <c r="AC41" s="357"/>
      <c r="AD41" s="14"/>
      <c r="AE41" s="16"/>
      <c r="AF41" s="16"/>
      <c r="AG41" s="16"/>
      <c r="AH41" s="16"/>
      <c r="AI41" s="16"/>
      <c r="AJ41" s="16"/>
      <c r="AK41" s="16"/>
      <c r="AL41" s="16"/>
    </row>
    <row r="42" spans="2:53" ht="16" customHeight="1" x14ac:dyDescent="0.35">
      <c r="B42" s="52"/>
      <c r="C42" s="48"/>
      <c r="D42" s="250"/>
      <c r="E42" s="518" t="str">
        <f>'Stage 2'!F37</f>
        <v>Greenspace</v>
      </c>
      <c r="F42" s="518"/>
      <c r="G42" s="518"/>
      <c r="H42" s="518"/>
      <c r="I42" s="518"/>
      <c r="J42" s="56"/>
      <c r="K42" s="323" t="str">
        <f>IF('Stage 2'!K37&gt;0,'Data Tables'!O4,"")</f>
        <v/>
      </c>
      <c r="L42" s="297"/>
      <c r="M42" s="304"/>
      <c r="N42" s="358" t="s">
        <v>62</v>
      </c>
      <c r="O42" s="265" t="s">
        <v>81</v>
      </c>
      <c r="P42" s="285"/>
      <c r="Q42" s="56"/>
      <c r="R42" s="262"/>
      <c r="S42" s="262"/>
      <c r="T42" s="518" t="str">
        <f t="shared" si="0"/>
        <v>Greenspace</v>
      </c>
      <c r="U42" s="518"/>
      <c r="V42" s="518"/>
      <c r="W42" s="518"/>
      <c r="X42" s="518"/>
      <c r="Y42" s="358" t="s">
        <v>62</v>
      </c>
      <c r="Z42" s="262"/>
      <c r="AA42" s="322" t="str">
        <f>IF($Y$16="Yes",(IF(Y42="Yes",'Data Tables'!O4,0)),"")</f>
        <v/>
      </c>
      <c r="AB42" s="322" t="str">
        <f>IF($Y$16="Yes",(IF(Z42="Yes",'Data Tables'!P4,0)),"")</f>
        <v/>
      </c>
      <c r="AC42" s="357"/>
      <c r="AD42" s="14"/>
      <c r="AE42" s="16"/>
      <c r="AF42" s="16"/>
      <c r="AG42" s="16"/>
      <c r="AH42" s="16"/>
      <c r="AI42" s="16"/>
      <c r="AJ42" s="16"/>
      <c r="AK42" s="16"/>
      <c r="AL42" s="16"/>
    </row>
    <row r="43" spans="2:53" ht="16" customHeight="1" x14ac:dyDescent="0.35">
      <c r="B43" s="52"/>
      <c r="C43" s="48"/>
      <c r="D43" s="250"/>
      <c r="E43" s="518" t="str">
        <f>'Stage 2'!F38</f>
        <v>Shrub / heathland / bracken / bog</v>
      </c>
      <c r="F43" s="518"/>
      <c r="G43" s="518"/>
      <c r="H43" s="518"/>
      <c r="I43" s="518"/>
      <c r="J43" s="56"/>
      <c r="K43" s="323" t="str">
        <f>IF('Stage 2'!K38&gt;0,'Data Tables'!O6,"")</f>
        <v/>
      </c>
      <c r="L43" s="297"/>
      <c r="M43" s="304"/>
      <c r="N43" s="358" t="s">
        <v>62</v>
      </c>
      <c r="O43" s="265" t="s">
        <v>81</v>
      </c>
      <c r="P43" s="285"/>
      <c r="Q43" s="56"/>
      <c r="R43" s="262"/>
      <c r="S43" s="262"/>
      <c r="T43" s="518" t="str">
        <f t="shared" si="0"/>
        <v>Shrub / heathland / bracken / bog</v>
      </c>
      <c r="U43" s="518"/>
      <c r="V43" s="518"/>
      <c r="W43" s="518"/>
      <c r="X43" s="518"/>
      <c r="Y43" s="358" t="s">
        <v>62</v>
      </c>
      <c r="Z43" s="262"/>
      <c r="AA43" s="322" t="str">
        <f>IF($Y$16="Yes",(IF(Y43="Yes",'Data Tables'!O6,0)),"")</f>
        <v/>
      </c>
      <c r="AB43" s="322" t="str">
        <f>IF($Y$16="Yes",(IF(Z43="Yes",'Data Tables'!P6,0)),"")</f>
        <v/>
      </c>
      <c r="AC43" s="357"/>
      <c r="AD43" s="14"/>
      <c r="AE43" s="16"/>
      <c r="AF43" s="16"/>
      <c r="AG43" s="16"/>
      <c r="AH43" s="16"/>
      <c r="AI43" s="16"/>
      <c r="AJ43" s="16"/>
      <c r="AK43" s="16"/>
      <c r="AL43" s="16"/>
    </row>
    <row r="44" spans="2:53" ht="15" customHeight="1" x14ac:dyDescent="0.35">
      <c r="B44" s="52"/>
      <c r="C44" s="48"/>
      <c r="D44" s="250"/>
      <c r="E44" s="518" t="str">
        <f>'Stage 2'!F39</f>
        <v>Water</v>
      </c>
      <c r="F44" s="518"/>
      <c r="G44" s="518"/>
      <c r="H44" s="518"/>
      <c r="I44" s="518"/>
      <c r="J44" s="56"/>
      <c r="K44" s="323" t="str">
        <f>IF('Stage 2'!K39&gt;0,'Data Tables'!O7,"")</f>
        <v/>
      </c>
      <c r="L44" s="297"/>
      <c r="M44" s="304"/>
      <c r="N44" s="358" t="s">
        <v>62</v>
      </c>
      <c r="O44" s="265" t="s">
        <v>81</v>
      </c>
      <c r="P44" s="285"/>
      <c r="Q44" s="56"/>
      <c r="R44" s="262"/>
      <c r="S44" s="262"/>
      <c r="T44" s="518" t="str">
        <f t="shared" si="0"/>
        <v>Water</v>
      </c>
      <c r="U44" s="518"/>
      <c r="V44" s="518"/>
      <c r="W44" s="518"/>
      <c r="X44" s="518"/>
      <c r="Y44" s="358" t="s">
        <v>62</v>
      </c>
      <c r="Z44" s="262"/>
      <c r="AA44" s="322" t="str">
        <f>IF($Y$16="Yes",(IF(Y44="Yes",'Data Tables'!O7,0)),"")</f>
        <v/>
      </c>
      <c r="AB44" s="322" t="str">
        <f>IF($Y$16="Yes",(IF(Z44="Yes",'Data Tables'!P7,0)),"")</f>
        <v/>
      </c>
      <c r="AC44" s="357"/>
      <c r="AD44" s="14"/>
      <c r="AE44" s="16"/>
      <c r="AF44" s="16"/>
      <c r="AG44" s="16"/>
      <c r="AH44" s="16"/>
      <c r="AI44" s="16"/>
      <c r="AJ44" s="16"/>
      <c r="AK44" s="16"/>
      <c r="AL44" s="16"/>
    </row>
    <row r="45" spans="2:53" ht="16" customHeight="1" x14ac:dyDescent="0.35">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436</v>
      </c>
      <c r="Z45" s="287" t="s">
        <v>437</v>
      </c>
      <c r="AA45" s="56"/>
      <c r="AB45" s="262"/>
      <c r="AC45" s="357"/>
      <c r="AD45" s="14"/>
      <c r="AE45" s="16"/>
      <c r="AF45" s="16"/>
      <c r="AG45" s="16"/>
      <c r="AH45" s="16"/>
      <c r="AI45" s="16"/>
      <c r="AJ45" s="16"/>
      <c r="AK45" s="16"/>
      <c r="AL45" s="16"/>
    </row>
    <row r="46" spans="2:53" ht="17.5" customHeight="1" x14ac:dyDescent="0.35">
      <c r="B46" s="52"/>
      <c r="C46" s="48"/>
      <c r="D46" s="250"/>
      <c r="E46" s="514" t="s">
        <v>89</v>
      </c>
      <c r="F46" s="514"/>
      <c r="G46" s="514"/>
      <c r="H46" s="514"/>
      <c r="I46" s="514"/>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14" t="s">
        <v>90</v>
      </c>
      <c r="U46" s="514"/>
      <c r="V46" s="514"/>
      <c r="W46" s="514"/>
      <c r="X46" s="514"/>
      <c r="Y46" s="326">
        <f>IF(Y16="Yes",SUM(AA27:AA44)/(COUNTIF(Y27:Y44,"Yes")),0)</f>
        <v>0</v>
      </c>
      <c r="Z46" s="326">
        <f>IF(Y16="Yes",SUM(AB27:AB44)/(COUNTIF(Y27:Y44,"Yes")),0)</f>
        <v>0</v>
      </c>
      <c r="AA46" s="249"/>
      <c r="AB46" s="249"/>
      <c r="AC46" s="357"/>
      <c r="AD46" s="14"/>
      <c r="AE46" s="16"/>
      <c r="AF46" s="16"/>
      <c r="AG46" s="16"/>
      <c r="AH46" s="16"/>
      <c r="AI46" s="16"/>
      <c r="AJ46" s="16"/>
      <c r="AK46" s="16"/>
      <c r="AL46" s="16"/>
    </row>
    <row r="47" spans="2:53" ht="16" customHeight="1" x14ac:dyDescent="0.35">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6"/>
      <c r="Z47" s="262"/>
      <c r="AA47" s="367"/>
      <c r="AB47" s="367"/>
      <c r="AC47" s="357"/>
      <c r="AD47" s="14"/>
      <c r="AE47" s="16"/>
      <c r="AF47" s="16"/>
      <c r="AG47" s="16"/>
      <c r="AH47" s="16"/>
      <c r="AI47" s="16"/>
      <c r="AJ47" s="16"/>
      <c r="AK47" s="16"/>
      <c r="AL47" s="16"/>
    </row>
    <row r="48" spans="2:53" ht="16" customHeight="1" x14ac:dyDescent="0.35">
      <c r="B48" s="52"/>
      <c r="C48" s="48"/>
      <c r="D48" s="250"/>
      <c r="E48" s="56"/>
      <c r="F48" s="44"/>
      <c r="G48" s="56"/>
      <c r="H48" s="56"/>
      <c r="I48" s="56"/>
      <c r="J48" s="56"/>
      <c r="K48" s="297"/>
      <c r="L48" s="297"/>
      <c r="M48" s="297"/>
      <c r="N48" s="262"/>
      <c r="O48" s="272"/>
      <c r="P48" s="161" t="s">
        <v>436</v>
      </c>
      <c r="Q48" s="161"/>
      <c r="R48" s="161" t="s">
        <v>437</v>
      </c>
      <c r="S48" s="56"/>
      <c r="T48" s="56"/>
      <c r="U48" s="56"/>
      <c r="V48" s="262"/>
      <c r="W48" s="262"/>
      <c r="X48" s="262"/>
      <c r="Y48" s="262"/>
      <c r="Z48" s="262"/>
      <c r="AA48" s="262"/>
      <c r="AB48" s="262"/>
      <c r="AC48" s="357"/>
      <c r="AD48" s="14"/>
      <c r="AE48" s="16"/>
      <c r="AF48" s="16"/>
      <c r="AG48" s="16"/>
      <c r="AH48" s="16"/>
      <c r="AI48" s="16"/>
      <c r="AJ48" s="16"/>
      <c r="AK48" s="16"/>
      <c r="AL48" s="16"/>
    </row>
    <row r="49" spans="2:38" ht="16" customHeight="1" x14ac:dyDescent="0.35">
      <c r="B49" s="52"/>
      <c r="C49" s="48"/>
      <c r="D49" s="250"/>
      <c r="E49" s="56"/>
      <c r="F49" s="44"/>
      <c r="G49" s="56"/>
      <c r="H49" s="56"/>
      <c r="I49" s="514" t="s">
        <v>92</v>
      </c>
      <c r="J49" s="514"/>
      <c r="K49" s="514"/>
      <c r="L49" s="514"/>
      <c r="M49" s="514"/>
      <c r="N49" s="514"/>
      <c r="O49" s="514"/>
      <c r="P49" s="304" t="str">
        <f>IF(K46+Y46&gt;0,K46+Y46,"")</f>
        <v/>
      </c>
      <c r="Q49" s="297"/>
      <c r="R49" s="304" t="str">
        <f>IF(M46+Z46&gt;0,M46+Z46,"")</f>
        <v/>
      </c>
      <c r="S49" s="367"/>
      <c r="T49" s="56"/>
      <c r="U49" s="56"/>
      <c r="V49" s="262"/>
      <c r="W49" s="262"/>
      <c r="X49" s="262"/>
      <c r="Y49" s="262"/>
      <c r="Z49" s="262"/>
      <c r="AA49" s="262"/>
      <c r="AB49" s="262"/>
      <c r="AC49" s="357"/>
      <c r="AD49" s="14"/>
      <c r="AE49" s="16"/>
      <c r="AF49" s="16"/>
      <c r="AG49" s="16"/>
      <c r="AH49" s="16"/>
      <c r="AI49" s="16"/>
      <c r="AJ49" s="16"/>
      <c r="AK49" s="16"/>
      <c r="AL49" s="16"/>
    </row>
    <row r="50" spans="2:38" ht="16" customHeight="1" thickBot="1" x14ac:dyDescent="0.4">
      <c r="B50" s="52"/>
      <c r="C50" s="48"/>
      <c r="D50" s="368"/>
      <c r="E50" s="274"/>
      <c r="F50" s="274"/>
      <c r="G50" s="274"/>
      <c r="H50" s="274"/>
      <c r="I50" s="274"/>
      <c r="J50" s="274"/>
      <c r="K50" s="274"/>
      <c r="L50" s="274"/>
      <c r="M50" s="274"/>
      <c r="N50" s="274"/>
      <c r="O50" s="274"/>
      <c r="P50" s="274"/>
      <c r="Q50" s="274"/>
      <c r="R50" s="274"/>
      <c r="S50" s="56"/>
      <c r="T50" s="56"/>
      <c r="U50" s="56"/>
      <c r="V50" s="369"/>
      <c r="W50" s="369"/>
      <c r="X50" s="369"/>
      <c r="Y50" s="369"/>
      <c r="Z50" s="369"/>
      <c r="AA50" s="369"/>
      <c r="AB50" s="369"/>
      <c r="AC50" s="370"/>
      <c r="AD50" s="14"/>
      <c r="AE50" s="16"/>
      <c r="AF50" s="16"/>
      <c r="AG50" s="16"/>
      <c r="AH50" s="16"/>
      <c r="AI50" s="16"/>
      <c r="AJ50" s="16"/>
      <c r="AK50" s="16"/>
      <c r="AL50" s="16"/>
    </row>
    <row r="51" spans="2:38" ht="11.5" customHeight="1" x14ac:dyDescent="0.3">
      <c r="B51" s="52"/>
      <c r="C51" s="48"/>
      <c r="D51" s="56"/>
      <c r="E51" s="56"/>
      <c r="F51" s="56"/>
      <c r="G51" s="56"/>
      <c r="H51" s="56"/>
      <c r="I51" s="56"/>
      <c r="J51" s="56"/>
      <c r="K51" s="56"/>
      <c r="L51" s="56"/>
      <c r="M51" s="56"/>
      <c r="N51" s="56"/>
      <c r="O51" s="56"/>
      <c r="P51" s="56"/>
      <c r="Q51" s="56"/>
      <c r="R51" s="56"/>
      <c r="S51" s="56"/>
      <c r="T51" s="56"/>
      <c r="U51" s="371"/>
      <c r="V51" s="372"/>
      <c r="W51" s="372"/>
      <c r="X51" s="372"/>
      <c r="Y51" s="372"/>
      <c r="Z51" s="372"/>
      <c r="AA51" s="372"/>
      <c r="AB51" s="372"/>
      <c r="AC51" s="372"/>
      <c r="AD51" s="16"/>
    </row>
    <row r="52" spans="2:38" ht="12.65" customHeight="1" x14ac:dyDescent="0.3">
      <c r="B52" s="52"/>
      <c r="C52" s="48"/>
      <c r="D52" s="56"/>
      <c r="E52" s="54" t="s">
        <v>12</v>
      </c>
      <c r="F52" s="447" t="s">
        <v>444</v>
      </c>
      <c r="G52" s="447"/>
      <c r="H52" s="447"/>
      <c r="I52" s="447"/>
      <c r="J52" s="447"/>
      <c r="K52" s="161" t="s">
        <v>2</v>
      </c>
      <c r="L52" s="161"/>
      <c r="M52" s="161" t="s">
        <v>2</v>
      </c>
      <c r="N52" s="161" t="s">
        <v>3</v>
      </c>
      <c r="O52" s="56"/>
      <c r="P52" s="56"/>
      <c r="Q52" s="56"/>
      <c r="R52" s="56"/>
      <c r="S52" s="56"/>
      <c r="T52" s="56"/>
      <c r="U52" s="371"/>
      <c r="V52" s="372"/>
      <c r="W52" s="372"/>
      <c r="X52" s="372"/>
      <c r="Y52" s="372"/>
      <c r="Z52" s="372"/>
      <c r="AA52" s="372"/>
      <c r="AB52" s="372"/>
      <c r="AC52" s="372"/>
      <c r="AD52" s="16"/>
    </row>
    <row r="53" spans="2:38" ht="13" customHeight="1" x14ac:dyDescent="0.3">
      <c r="B53" s="52"/>
      <c r="C53" s="48"/>
      <c r="D53" s="56"/>
      <c r="E53" s="56"/>
      <c r="F53" s="56"/>
      <c r="G53" s="56"/>
      <c r="H53" s="56"/>
      <c r="I53" s="56"/>
      <c r="J53" s="56"/>
      <c r="K53" s="161" t="s">
        <v>436</v>
      </c>
      <c r="L53" s="161"/>
      <c r="M53" s="161" t="s">
        <v>437</v>
      </c>
      <c r="N53" s="56"/>
      <c r="O53" s="56"/>
      <c r="P53" s="56"/>
      <c r="Q53" s="56"/>
      <c r="R53" s="56"/>
      <c r="S53" s="56"/>
      <c r="T53" s="56"/>
      <c r="U53" s="371"/>
      <c r="V53" s="372"/>
      <c r="W53" s="372"/>
      <c r="X53" s="372"/>
      <c r="Y53" s="372"/>
      <c r="Z53" s="372"/>
      <c r="AA53" s="372"/>
      <c r="AB53" s="372"/>
      <c r="AC53" s="372"/>
      <c r="AD53" s="16"/>
    </row>
    <row r="54" spans="2:38" ht="13" customHeight="1" x14ac:dyDescent="0.3">
      <c r="B54" s="52"/>
      <c r="C54" s="48"/>
      <c r="D54" s="56"/>
      <c r="E54" s="501" t="s">
        <v>32</v>
      </c>
      <c r="F54" s="501"/>
      <c r="G54" s="501"/>
      <c r="H54" s="501"/>
      <c r="I54" s="501"/>
      <c r="J54" s="56"/>
      <c r="K54" s="373" t="e">
        <f>(1/(((P49-(-IF(K62&gt;0,K62,8))))/$K$10))</f>
        <v>#VALUE!</v>
      </c>
      <c r="L54" s="374"/>
      <c r="M54" s="373" t="e">
        <f>(1/(((R49-(-IF(M62&gt;0,M62,930))))/$K$11))</f>
        <v>#VALUE!</v>
      </c>
      <c r="N54" s="265" t="s">
        <v>17</v>
      </c>
      <c r="O54" s="56"/>
      <c r="P54" s="56"/>
      <c r="Q54" s="56"/>
      <c r="R54" s="56"/>
      <c r="S54" s="56"/>
      <c r="T54" s="56"/>
      <c r="U54" s="371"/>
      <c r="V54" s="372"/>
      <c r="W54" s="372"/>
      <c r="X54" s="372"/>
      <c r="Y54" s="372"/>
      <c r="Z54" s="372"/>
      <c r="AA54" s="372"/>
      <c r="AB54" s="372"/>
      <c r="AC54" s="372"/>
      <c r="AD54" s="16"/>
    </row>
    <row r="55" spans="2:38" ht="14.5" customHeight="1" x14ac:dyDescent="0.3">
      <c r="B55" s="52"/>
      <c r="C55" s="48"/>
      <c r="D55" s="56"/>
      <c r="E55" s="501" t="s">
        <v>489</v>
      </c>
      <c r="F55" s="501"/>
      <c r="G55" s="501"/>
      <c r="H55" s="501"/>
      <c r="I55" s="501"/>
      <c r="J55" s="56"/>
      <c r="K55" s="373"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4"/>
      <c r="M55" s="373"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1"/>
      <c r="V55" s="372"/>
      <c r="W55" s="372"/>
      <c r="X55" s="372"/>
      <c r="Y55" s="372"/>
      <c r="Z55" s="372"/>
      <c r="AA55" s="372"/>
      <c r="AB55" s="372"/>
      <c r="AC55" s="372"/>
      <c r="AD55" s="16"/>
    </row>
    <row r="56" spans="2:38" ht="14.5" customHeight="1" x14ac:dyDescent="0.3">
      <c r="B56" s="52"/>
      <c r="C56" s="48"/>
      <c r="D56" s="56"/>
      <c r="E56" s="501" t="s">
        <v>400</v>
      </c>
      <c r="F56" s="501"/>
      <c r="G56" s="501"/>
      <c r="H56" s="501"/>
      <c r="I56" s="501"/>
      <c r="J56" s="161"/>
      <c r="K56" s="373" t="e">
        <f>(1/(($P$49-'Data Tables'!O7)/$K$10))</f>
        <v>#VALUE!</v>
      </c>
      <c r="L56" s="374"/>
      <c r="M56" s="373" t="e">
        <f>(1/(($R$49-'Data Tables'!P7)/$K$11))</f>
        <v>#VALUE!</v>
      </c>
      <c r="N56" s="265" t="s">
        <v>17</v>
      </c>
      <c r="O56" s="265"/>
      <c r="P56" s="292"/>
      <c r="Q56" s="292"/>
      <c r="R56" s="265"/>
      <c r="S56" s="265"/>
      <c r="T56" s="56"/>
      <c r="U56" s="371"/>
      <c r="V56" s="372"/>
      <c r="W56" s="372"/>
      <c r="X56" s="372"/>
      <c r="Y56" s="372"/>
      <c r="Z56" s="372"/>
      <c r="AA56" s="372"/>
      <c r="AB56" s="372"/>
      <c r="AC56" s="372"/>
      <c r="AD56" s="16"/>
    </row>
    <row r="57" spans="2:38" ht="14.5" customHeight="1" x14ac:dyDescent="0.3">
      <c r="B57" s="52"/>
      <c r="C57" s="48"/>
      <c r="D57" s="56"/>
      <c r="E57" s="501" t="s">
        <v>34</v>
      </c>
      <c r="F57" s="501"/>
      <c r="G57" s="501"/>
      <c r="H57" s="501"/>
      <c r="I57" s="501"/>
      <c r="J57" s="161"/>
      <c r="K57" s="373" t="e">
        <f>(1/(($P$49-'Data Tables'!O5)/$K$10))</f>
        <v>#VALUE!</v>
      </c>
      <c r="L57" s="374"/>
      <c r="M57" s="373" t="e">
        <f>(1/(($R$49-'Data Tables'!P5)/$K$11))</f>
        <v>#VALUE!</v>
      </c>
      <c r="N57" s="265" t="s">
        <v>17</v>
      </c>
      <c r="O57" s="265"/>
      <c r="P57" s="292"/>
      <c r="Q57" s="292"/>
      <c r="R57" s="265"/>
      <c r="S57" s="265"/>
      <c r="T57" s="56"/>
      <c r="U57" s="371"/>
      <c r="V57" s="372"/>
      <c r="W57" s="372"/>
      <c r="X57" s="372"/>
      <c r="Y57" s="372"/>
      <c r="Z57" s="372"/>
      <c r="AA57" s="372"/>
      <c r="AB57" s="372"/>
      <c r="AC57" s="372"/>
      <c r="AD57" s="16"/>
    </row>
    <row r="58" spans="2:38" ht="14.5" customHeight="1" x14ac:dyDescent="0.3">
      <c r="B58" s="52"/>
      <c r="C58" s="48"/>
      <c r="D58" s="56"/>
      <c r="E58" s="501" t="s">
        <v>245</v>
      </c>
      <c r="F58" s="501"/>
      <c r="G58" s="501"/>
      <c r="H58" s="501"/>
      <c r="I58" s="501"/>
      <c r="J58" s="161"/>
      <c r="K58" s="373" t="e">
        <f>(1/(($P$49-'Data Tables'!O6)/$K$10))</f>
        <v>#VALUE!</v>
      </c>
      <c r="L58" s="374"/>
      <c r="M58" s="373" t="e">
        <f>(1/(($R$49-'Data Tables'!P6)/$K$11))</f>
        <v>#VALUE!</v>
      </c>
      <c r="N58" s="265" t="s">
        <v>17</v>
      </c>
      <c r="O58" s="265"/>
      <c r="P58" s="292"/>
      <c r="Q58" s="292"/>
      <c r="R58" s="265"/>
      <c r="S58" s="265"/>
      <c r="T58" s="56"/>
      <c r="U58" s="371"/>
      <c r="V58" s="372"/>
      <c r="W58" s="372"/>
      <c r="X58" s="372"/>
      <c r="Y58" s="372"/>
      <c r="Z58" s="372"/>
      <c r="AA58" s="372"/>
      <c r="AB58" s="372"/>
      <c r="AC58" s="372"/>
      <c r="AD58" s="16"/>
    </row>
    <row r="59" spans="2:38" ht="14.5" customHeight="1" x14ac:dyDescent="0.3">
      <c r="B59" s="52"/>
      <c r="C59" s="48"/>
      <c r="D59" s="56"/>
      <c r="E59" s="501" t="s">
        <v>439</v>
      </c>
      <c r="F59" s="501"/>
      <c r="G59" s="501"/>
      <c r="H59" s="501"/>
      <c r="I59" s="501"/>
      <c r="J59" s="161"/>
      <c r="K59" s="373" t="e">
        <f>(1/(($P$49-'Data Tables'!O4)/$K$10))</f>
        <v>#VALUE!</v>
      </c>
      <c r="L59" s="374"/>
      <c r="M59" s="373" t="e">
        <f>(1/(($R$49-'Data Tables'!P4)/$K$11))</f>
        <v>#VALUE!</v>
      </c>
      <c r="N59" s="265" t="s">
        <v>17</v>
      </c>
      <c r="O59" s="265"/>
      <c r="P59" s="292"/>
      <c r="Q59" s="292"/>
      <c r="R59" s="265"/>
      <c r="S59" s="265"/>
      <c r="T59" s="56"/>
      <c r="U59" s="371"/>
      <c r="V59" s="372"/>
      <c r="W59" s="372"/>
      <c r="X59" s="372"/>
      <c r="Y59" s="372"/>
      <c r="Z59" s="372"/>
      <c r="AA59" s="372"/>
      <c r="AB59" s="372"/>
      <c r="AC59" s="372"/>
      <c r="AD59" s="16"/>
    </row>
    <row r="60" spans="2:38" ht="7.5" customHeight="1" x14ac:dyDescent="0.3">
      <c r="B60" s="52"/>
      <c r="C60" s="48"/>
      <c r="D60" s="56"/>
      <c r="E60" s="56"/>
      <c r="F60" s="56"/>
      <c r="G60" s="56"/>
      <c r="H60" s="56"/>
      <c r="I60" s="56"/>
      <c r="J60" s="56"/>
      <c r="K60" s="56"/>
      <c r="L60" s="56"/>
      <c r="M60" s="56"/>
      <c r="N60" s="56"/>
      <c r="O60" s="56"/>
      <c r="P60" s="56"/>
      <c r="Q60" s="56"/>
      <c r="R60" s="56"/>
      <c r="S60" s="56"/>
      <c r="T60" s="56"/>
      <c r="U60" s="371"/>
      <c r="V60" s="372"/>
      <c r="W60" s="372"/>
      <c r="X60" s="372"/>
      <c r="Y60" s="372"/>
      <c r="Z60" s="372"/>
      <c r="AA60" s="372"/>
      <c r="AB60" s="372"/>
      <c r="AC60" s="372"/>
      <c r="AD60" s="16"/>
    </row>
    <row r="61" spans="2:38" ht="16" customHeight="1" x14ac:dyDescent="0.35">
      <c r="B61" s="52"/>
      <c r="C61" s="48"/>
      <c r="D61" s="56"/>
      <c r="E61" s="56"/>
      <c r="F61" s="447" t="s">
        <v>248</v>
      </c>
      <c r="G61" s="447"/>
      <c r="H61" s="447"/>
      <c r="I61" s="447"/>
      <c r="J61" s="447"/>
      <c r="K61" s="249"/>
      <c r="L61" s="249"/>
      <c r="M61" s="249"/>
      <c r="N61" s="56"/>
      <c r="O61" s="56"/>
      <c r="P61" s="56"/>
      <c r="Q61" s="56"/>
      <c r="R61" s="56"/>
      <c r="S61" s="56"/>
      <c r="T61" s="56"/>
      <c r="U61" s="371"/>
      <c r="V61" s="372"/>
      <c r="W61" s="372"/>
      <c r="X61" s="372"/>
      <c r="Y61" s="372"/>
      <c r="Z61" s="372"/>
      <c r="AA61" s="372"/>
      <c r="AB61" s="372"/>
      <c r="AC61" s="372"/>
      <c r="AD61" s="16"/>
    </row>
    <row r="62" spans="2:38" ht="18" customHeight="1" x14ac:dyDescent="0.35">
      <c r="B62" s="52"/>
      <c r="C62" s="48"/>
      <c r="D62" s="56"/>
      <c r="E62" s="56"/>
      <c r="F62" s="56"/>
      <c r="G62" s="447" t="s">
        <v>236</v>
      </c>
      <c r="H62" s="447"/>
      <c r="I62" s="447"/>
      <c r="J62" s="447"/>
      <c r="K62" s="263"/>
      <c r="L62" s="264"/>
      <c r="M62" s="263"/>
      <c r="N62" s="265" t="s">
        <v>81</v>
      </c>
      <c r="O62" s="302"/>
      <c r="P62" s="56"/>
      <c r="Q62" s="56"/>
      <c r="R62" s="56"/>
      <c r="S62" s="56"/>
      <c r="T62" s="56"/>
      <c r="U62" s="371"/>
      <c r="V62" s="372"/>
      <c r="W62" s="372"/>
      <c r="X62" s="372"/>
      <c r="Y62" s="372"/>
      <c r="Z62" s="372"/>
      <c r="AA62" s="372"/>
      <c r="AB62" s="372"/>
      <c r="AC62" s="372"/>
      <c r="AD62" s="16"/>
    </row>
    <row r="63" spans="2:38" ht="60" customHeight="1" x14ac:dyDescent="0.3">
      <c r="B63" s="52"/>
      <c r="C63" s="48"/>
      <c r="D63" s="56"/>
      <c r="E63" s="497" t="s">
        <v>438</v>
      </c>
      <c r="F63" s="497"/>
      <c r="G63" s="497"/>
      <c r="H63" s="497"/>
      <c r="I63" s="497"/>
      <c r="J63" s="497"/>
      <c r="K63" s="497"/>
      <c r="L63" s="497"/>
      <c r="M63" s="497"/>
      <c r="N63" s="497"/>
      <c r="O63" s="497"/>
      <c r="P63" s="497"/>
      <c r="Q63" s="497"/>
      <c r="R63" s="497"/>
      <c r="S63" s="497"/>
      <c r="T63" s="497"/>
      <c r="U63" s="371"/>
      <c r="V63" s="372"/>
      <c r="W63" s="372"/>
      <c r="X63" s="372"/>
      <c r="Y63" s="372"/>
      <c r="Z63" s="372"/>
      <c r="AA63" s="372"/>
      <c r="AB63" s="372"/>
      <c r="AC63" s="372"/>
      <c r="AD63" s="16"/>
    </row>
    <row r="64" spans="2:38" ht="14.5" customHeight="1" x14ac:dyDescent="0.35">
      <c r="B64" s="52"/>
      <c r="C64" s="48"/>
      <c r="D64" s="56"/>
      <c r="E64" s="56"/>
      <c r="F64" s="56"/>
      <c r="G64" s="56"/>
      <c r="H64" s="56"/>
      <c r="I64" s="56"/>
      <c r="J64" s="56"/>
      <c r="K64" s="249"/>
      <c r="L64" s="249"/>
      <c r="M64" s="249"/>
      <c r="N64" s="56"/>
      <c r="O64" s="56"/>
      <c r="P64" s="249"/>
      <c r="Q64" s="249"/>
      <c r="R64" s="249"/>
      <c r="S64" s="56"/>
      <c r="T64" s="56"/>
      <c r="U64" s="371"/>
      <c r="V64" s="372"/>
      <c r="W64" s="372"/>
      <c r="X64" s="372"/>
      <c r="Y64" s="372"/>
      <c r="Z64" s="372"/>
      <c r="AA64" s="372"/>
      <c r="AB64" s="372"/>
      <c r="AC64" s="372"/>
      <c r="AD64" s="16"/>
    </row>
    <row r="65" spans="2:30" ht="10" customHeight="1" x14ac:dyDescent="0.3">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1"/>
      <c r="V65" s="372"/>
      <c r="W65" s="372"/>
      <c r="X65" s="372"/>
      <c r="Y65" s="372"/>
      <c r="Z65" s="372"/>
      <c r="AA65" s="372"/>
      <c r="AB65" s="372"/>
      <c r="AC65" s="372"/>
      <c r="AD65" s="16"/>
    </row>
    <row r="66" spans="2:30" ht="13.5" customHeight="1" x14ac:dyDescent="0.3">
      <c r="B66" s="52"/>
      <c r="C66" s="48"/>
      <c r="D66" s="56"/>
      <c r="E66" s="54"/>
      <c r="F66" s="56"/>
      <c r="G66" s="56"/>
      <c r="H66" s="56"/>
      <c r="I66" s="56"/>
      <c r="J66" s="56"/>
      <c r="K66" s="161" t="s">
        <v>436</v>
      </c>
      <c r="L66" s="161"/>
      <c r="M66" s="161" t="s">
        <v>437</v>
      </c>
      <c r="N66" s="56"/>
      <c r="O66" s="56"/>
      <c r="P66" s="161" t="s">
        <v>436</v>
      </c>
      <c r="Q66" s="161"/>
      <c r="R66" s="161" t="s">
        <v>437</v>
      </c>
      <c r="S66" s="161"/>
      <c r="T66" s="56"/>
      <c r="U66" s="371"/>
      <c r="V66" s="372"/>
      <c r="W66" s="375"/>
      <c r="X66" s="372"/>
      <c r="Y66" s="372"/>
      <c r="Z66" s="372"/>
      <c r="AA66" s="372"/>
      <c r="AB66" s="372"/>
      <c r="AC66" s="372"/>
      <c r="AD66" s="16"/>
    </row>
    <row r="67" spans="2:30" ht="19" customHeight="1" x14ac:dyDescent="0.3">
      <c r="B67" s="52"/>
      <c r="C67" s="48"/>
      <c r="D67" s="56"/>
      <c r="E67" s="501" t="s">
        <v>32</v>
      </c>
      <c r="F67" s="501"/>
      <c r="G67" s="501"/>
      <c r="H67" s="501"/>
      <c r="I67" s="501"/>
      <c r="J67" s="161"/>
      <c r="K67" s="376"/>
      <c r="L67" s="309"/>
      <c r="M67" s="376"/>
      <c r="N67" s="265" t="s">
        <v>35</v>
      </c>
      <c r="O67" s="265"/>
      <c r="P67" s="373" t="str">
        <f>IF(K67&gt;0,(1/(($P$49-(-IF(K62&gt;0,K62,8)))/K67)),"0")</f>
        <v>0</v>
      </c>
      <c r="Q67" s="374"/>
      <c r="R67" s="373" t="str">
        <f>IF(M67&gt;0,(1/(($P$49-(-IF(M62&gt;0,M62,930)))/M67)),"0")</f>
        <v>0</v>
      </c>
      <c r="S67" s="265" t="s">
        <v>17</v>
      </c>
      <c r="T67" s="56"/>
      <c r="U67" s="371"/>
      <c r="V67" s="372"/>
      <c r="W67" s="375"/>
      <c r="X67" s="372"/>
      <c r="Y67" s="372"/>
      <c r="Z67" s="372"/>
      <c r="AA67" s="372"/>
      <c r="AB67" s="372"/>
      <c r="AC67" s="372"/>
      <c r="AD67" s="16"/>
    </row>
    <row r="68" spans="2:30" ht="22.5" customHeight="1" x14ac:dyDescent="0.3">
      <c r="B68" s="52"/>
      <c r="C68" s="48"/>
      <c r="D68" s="56"/>
      <c r="E68" s="501" t="s">
        <v>489</v>
      </c>
      <c r="F68" s="501"/>
      <c r="G68" s="501"/>
      <c r="H68" s="501"/>
      <c r="I68" s="501"/>
      <c r="J68" s="161"/>
      <c r="K68" s="376"/>
      <c r="L68" s="309"/>
      <c r="M68" s="376"/>
      <c r="N68" s="265" t="s">
        <v>35</v>
      </c>
      <c r="O68" s="265"/>
      <c r="P68" s="373"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4"/>
      <c r="R68" s="373"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1"/>
      <c r="V68" s="372"/>
      <c r="W68" s="372"/>
      <c r="X68" s="372"/>
      <c r="Y68" s="372"/>
      <c r="Z68" s="372"/>
      <c r="AA68" s="372"/>
      <c r="AB68" s="372"/>
      <c r="AC68" s="372"/>
      <c r="AD68" s="16"/>
    </row>
    <row r="69" spans="2:30" ht="13.5" customHeight="1" x14ac:dyDescent="0.3">
      <c r="B69" s="52"/>
      <c r="C69" s="48"/>
      <c r="D69" s="56"/>
      <c r="E69" s="501" t="s">
        <v>400</v>
      </c>
      <c r="F69" s="501"/>
      <c r="G69" s="501"/>
      <c r="H69" s="501"/>
      <c r="I69" s="501"/>
      <c r="J69" s="161"/>
      <c r="K69" s="376"/>
      <c r="L69" s="309"/>
      <c r="M69" s="376"/>
      <c r="N69" s="265" t="s">
        <v>35</v>
      </c>
      <c r="O69" s="265"/>
      <c r="P69" s="373" t="str">
        <f>IF(K69&gt;0,(1/(($P$49-'Data Tables'!O7)/K69)),"0")</f>
        <v>0</v>
      </c>
      <c r="Q69" s="374"/>
      <c r="R69" s="373" t="str">
        <f>IF(M69&gt;0,(1/(($R$49-'Data Tables'!P7)/M69)),"0")</f>
        <v>0</v>
      </c>
      <c r="S69" s="265" t="s">
        <v>17</v>
      </c>
      <c r="T69" s="56"/>
      <c r="U69" s="371"/>
      <c r="V69" s="372"/>
      <c r="W69" s="375"/>
      <c r="X69" s="372"/>
      <c r="Y69" s="372"/>
      <c r="Z69" s="372"/>
      <c r="AA69" s="372"/>
      <c r="AB69" s="372"/>
      <c r="AC69" s="372"/>
      <c r="AD69" s="16"/>
    </row>
    <row r="70" spans="2:30" ht="16.5" customHeight="1" x14ac:dyDescent="0.3">
      <c r="B70" s="52"/>
      <c r="C70" s="48"/>
      <c r="D70" s="56"/>
      <c r="E70" s="501" t="s">
        <v>34</v>
      </c>
      <c r="F70" s="501"/>
      <c r="G70" s="501"/>
      <c r="H70" s="501"/>
      <c r="I70" s="501"/>
      <c r="J70" s="161"/>
      <c r="K70" s="376"/>
      <c r="L70" s="309"/>
      <c r="M70" s="376"/>
      <c r="N70" s="265" t="s">
        <v>35</v>
      </c>
      <c r="O70" s="265"/>
      <c r="P70" s="373" t="str">
        <f>IF(K70&gt;0,(1/(($P$49-'Data Tables'!O5)/K70)),"0")</f>
        <v>0</v>
      </c>
      <c r="Q70" s="374"/>
      <c r="R70" s="373" t="str">
        <f>IF(M70&gt;0,(1/(($P$49-'Data Tables'!P5)/M70)),"0")</f>
        <v>0</v>
      </c>
      <c r="S70" s="265" t="s">
        <v>17</v>
      </c>
      <c r="T70" s="56"/>
      <c r="U70" s="371"/>
      <c r="V70" s="372"/>
      <c r="W70" s="372"/>
      <c r="X70" s="372"/>
      <c r="Y70" s="372"/>
      <c r="Z70" s="372"/>
      <c r="AA70" s="372"/>
      <c r="AB70" s="372"/>
      <c r="AC70" s="372"/>
      <c r="AD70" s="16"/>
    </row>
    <row r="71" spans="2:30" ht="16.5" customHeight="1" x14ac:dyDescent="0.3">
      <c r="B71" s="52"/>
      <c r="C71" s="48"/>
      <c r="D71" s="56"/>
      <c r="E71" s="501" t="s">
        <v>245</v>
      </c>
      <c r="F71" s="501"/>
      <c r="G71" s="501"/>
      <c r="H71" s="501"/>
      <c r="I71" s="501"/>
      <c r="J71" s="161"/>
      <c r="K71" s="376"/>
      <c r="L71" s="309"/>
      <c r="M71" s="376"/>
      <c r="N71" s="265" t="s">
        <v>35</v>
      </c>
      <c r="O71" s="265"/>
      <c r="P71" s="373" t="str">
        <f>IF(K71&gt;0,(1/(($P$49-'Data Tables'!O6)/K71)),"0")</f>
        <v>0</v>
      </c>
      <c r="Q71" s="374"/>
      <c r="R71" s="373" t="str">
        <f>IF(M71&gt;0,(1/(($R$49-'Data Tables'!P6)/M71)),"0")</f>
        <v>0</v>
      </c>
      <c r="S71" s="265" t="s">
        <v>17</v>
      </c>
      <c r="T71" s="56"/>
      <c r="U71" s="371"/>
      <c r="V71" s="372"/>
      <c r="W71" s="372"/>
      <c r="X71" s="372"/>
      <c r="Y71" s="372"/>
      <c r="Z71" s="372"/>
      <c r="AA71" s="372"/>
      <c r="AB71" s="372"/>
      <c r="AC71" s="372"/>
      <c r="AD71" s="16"/>
    </row>
    <row r="72" spans="2:30" ht="16.5" customHeight="1" x14ac:dyDescent="0.3">
      <c r="B72" s="52"/>
      <c r="C72" s="48"/>
      <c r="D72" s="56"/>
      <c r="E72" s="501" t="s">
        <v>439</v>
      </c>
      <c r="F72" s="501"/>
      <c r="G72" s="501"/>
      <c r="H72" s="501"/>
      <c r="I72" s="501"/>
      <c r="J72" s="161"/>
      <c r="K72" s="376"/>
      <c r="L72" s="309"/>
      <c r="M72" s="376"/>
      <c r="N72" s="265" t="s">
        <v>35</v>
      </c>
      <c r="O72" s="265"/>
      <c r="P72" s="373" t="str">
        <f>IF(K72&gt;0,(1/(($P$49-'Data Tables'!O4)/K72)),"0")</f>
        <v>0</v>
      </c>
      <c r="Q72" s="374"/>
      <c r="R72" s="373" t="str">
        <f>IF(M72&gt;0,(1/(($R$49-'Data Tables'!P4)/M72)),"0")</f>
        <v>0</v>
      </c>
      <c r="S72" s="265" t="s">
        <v>17</v>
      </c>
      <c r="T72" s="56"/>
      <c r="U72" s="371"/>
      <c r="V72" s="372"/>
      <c r="W72" s="372"/>
      <c r="X72" s="372"/>
      <c r="Y72" s="372"/>
      <c r="Z72" s="372"/>
      <c r="AA72" s="372"/>
      <c r="AB72" s="372"/>
      <c r="AC72" s="372"/>
      <c r="AD72" s="16"/>
    </row>
    <row r="73" spans="2:30" ht="22" customHeight="1" x14ac:dyDescent="0.3">
      <c r="B73" s="52"/>
      <c r="C73" s="48"/>
      <c r="D73" s="56"/>
      <c r="E73" s="56"/>
      <c r="F73" s="56"/>
      <c r="G73" s="56"/>
      <c r="H73" s="56"/>
      <c r="I73" s="56"/>
      <c r="J73" s="56"/>
      <c r="K73" s="56"/>
      <c r="L73" s="56"/>
      <c r="M73" s="56"/>
      <c r="N73" s="265"/>
      <c r="O73" s="265"/>
      <c r="P73" s="377"/>
      <c r="Q73" s="377"/>
      <c r="R73" s="265"/>
      <c r="S73" s="265"/>
      <c r="T73" s="56"/>
      <c r="U73" s="371"/>
      <c r="V73" s="372"/>
      <c r="W73" s="372"/>
      <c r="X73" s="372"/>
      <c r="Y73" s="372"/>
      <c r="Z73" s="372"/>
      <c r="AA73" s="372"/>
      <c r="AB73" s="372"/>
      <c r="AC73" s="372"/>
      <c r="AD73" s="16"/>
    </row>
    <row r="74" spans="2:30" ht="15.65" customHeight="1" x14ac:dyDescent="0.3">
      <c r="B74" s="52"/>
      <c r="C74" s="48"/>
      <c r="D74" s="56"/>
      <c r="E74" s="56"/>
      <c r="F74" s="495" t="s">
        <v>64</v>
      </c>
      <c r="G74" s="495"/>
      <c r="H74" s="495"/>
      <c r="I74" s="495"/>
      <c r="J74" s="56"/>
      <c r="K74" s="304">
        <f>K10-(SUM(K67:K72))</f>
        <v>0</v>
      </c>
      <c r="L74" s="297"/>
      <c r="M74" s="304">
        <f>K11-(SUM(M67:M72))</f>
        <v>0</v>
      </c>
      <c r="N74" s="272" t="s">
        <v>15</v>
      </c>
      <c r="O74" s="272"/>
      <c r="P74" s="323">
        <f>SUM(P67:P72)</f>
        <v>0</v>
      </c>
      <c r="Q74" s="378"/>
      <c r="R74" s="323">
        <f>SUM(R67:R72)</f>
        <v>0</v>
      </c>
      <c r="S74" s="272" t="s">
        <v>17</v>
      </c>
      <c r="T74" s="56"/>
      <c r="U74" s="371"/>
      <c r="V74" s="372"/>
      <c r="W74" s="372"/>
      <c r="X74" s="372"/>
      <c r="Y74" s="372"/>
      <c r="Z74" s="372"/>
      <c r="AA74" s="372"/>
      <c r="AB74" s="372"/>
      <c r="AC74" s="372"/>
      <c r="AD74" s="16"/>
    </row>
    <row r="75" spans="2:30" ht="18" customHeight="1" x14ac:dyDescent="0.3">
      <c r="B75" s="52"/>
      <c r="C75" s="48"/>
      <c r="D75" s="56"/>
      <c r="E75" s="56"/>
      <c r="F75" s="56"/>
      <c r="G75" s="56"/>
      <c r="H75" s="56"/>
      <c r="I75" s="56"/>
      <c r="J75" s="56"/>
      <c r="K75" s="56"/>
      <c r="L75" s="56"/>
      <c r="M75" s="56"/>
      <c r="N75" s="56"/>
      <c r="O75" s="56"/>
      <c r="P75" s="56"/>
      <c r="Q75" s="56"/>
      <c r="R75" s="56"/>
      <c r="S75" s="56"/>
      <c r="T75" s="56"/>
      <c r="U75" s="371"/>
      <c r="V75" s="372"/>
      <c r="W75" s="372"/>
      <c r="X75" s="372"/>
      <c r="Y75" s="372"/>
      <c r="Z75" s="372"/>
      <c r="AA75" s="372"/>
      <c r="AB75" s="372"/>
      <c r="AC75" s="372"/>
      <c r="AD75" s="16"/>
    </row>
    <row r="76" spans="2:30" ht="64.5" customHeight="1" x14ac:dyDescent="0.3">
      <c r="B76" s="52"/>
      <c r="C76" s="48"/>
      <c r="D76" s="56"/>
      <c r="E76" s="497" t="s">
        <v>442</v>
      </c>
      <c r="F76" s="497"/>
      <c r="G76" s="497"/>
      <c r="H76" s="497"/>
      <c r="I76" s="497"/>
      <c r="J76" s="497"/>
      <c r="K76" s="497"/>
      <c r="L76" s="497"/>
      <c r="M76" s="497"/>
      <c r="N76" s="497"/>
      <c r="O76" s="497"/>
      <c r="P76" s="497"/>
      <c r="Q76" s="497"/>
      <c r="R76" s="497"/>
      <c r="S76" s="497"/>
      <c r="T76" s="497"/>
      <c r="U76" s="371"/>
      <c r="V76" s="372"/>
      <c r="W76" s="372"/>
      <c r="X76" s="372"/>
      <c r="Y76" s="372"/>
      <c r="Z76" s="372"/>
      <c r="AA76" s="372"/>
      <c r="AB76" s="372"/>
      <c r="AC76" s="372"/>
      <c r="AD76" s="16"/>
    </row>
    <row r="77" spans="2:30" ht="15.5" x14ac:dyDescent="0.3">
      <c r="B77" s="52"/>
      <c r="C77" s="48"/>
      <c r="D77" s="56"/>
      <c r="E77" s="56"/>
      <c r="F77" s="56"/>
      <c r="G77" s="56"/>
      <c r="H77" s="56"/>
      <c r="I77" s="56"/>
      <c r="J77" s="56"/>
      <c r="K77" s="56"/>
      <c r="L77" s="56"/>
      <c r="M77" s="56"/>
      <c r="N77" s="56"/>
      <c r="O77" s="56"/>
      <c r="P77" s="56"/>
      <c r="Q77" s="56"/>
      <c r="R77" s="56"/>
      <c r="S77" s="56"/>
      <c r="T77" s="56"/>
      <c r="U77" s="371"/>
      <c r="V77" s="372"/>
      <c r="W77" s="372"/>
      <c r="X77" s="372"/>
      <c r="Y77" s="372"/>
      <c r="Z77" s="372"/>
      <c r="AA77" s="372"/>
      <c r="AB77" s="372"/>
      <c r="AC77" s="372"/>
      <c r="AD77" s="16"/>
    </row>
    <row r="78" spans="2:30" ht="15.5" x14ac:dyDescent="0.3">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1"/>
      <c r="V78" s="372"/>
      <c r="W78" s="372"/>
      <c r="X78" s="372"/>
      <c r="Y78" s="372"/>
      <c r="Z78" s="372"/>
      <c r="AA78" s="372"/>
      <c r="AB78" s="372"/>
      <c r="AC78" s="372"/>
      <c r="AD78" s="16"/>
    </row>
    <row r="79" spans="2:30" ht="15.5" x14ac:dyDescent="0.3">
      <c r="B79" s="52"/>
      <c r="C79" s="48"/>
      <c r="D79" s="56"/>
      <c r="E79" s="54"/>
      <c r="F79" s="56"/>
      <c r="G79" s="56"/>
      <c r="H79" s="56"/>
      <c r="I79" s="56"/>
      <c r="J79" s="56"/>
      <c r="K79" s="161" t="s">
        <v>436</v>
      </c>
      <c r="L79" s="161"/>
      <c r="M79" s="161" t="s">
        <v>437</v>
      </c>
      <c r="N79" s="56"/>
      <c r="O79" s="56"/>
      <c r="P79" s="161" t="s">
        <v>436</v>
      </c>
      <c r="Q79" s="161"/>
      <c r="R79" s="161" t="s">
        <v>437</v>
      </c>
      <c r="S79" s="161"/>
      <c r="T79" s="56"/>
      <c r="U79" s="371"/>
      <c r="V79" s="372"/>
      <c r="W79" s="372"/>
      <c r="X79" s="372"/>
      <c r="Y79" s="372"/>
      <c r="Z79" s="372"/>
      <c r="AA79" s="372"/>
      <c r="AB79" s="372"/>
      <c r="AC79" s="372"/>
      <c r="AD79" s="16"/>
    </row>
    <row r="80" spans="2:30" ht="15.5" x14ac:dyDescent="0.3">
      <c r="B80" s="52"/>
      <c r="C80" s="48"/>
      <c r="D80" s="56"/>
      <c r="E80" s="501" t="s">
        <v>32</v>
      </c>
      <c r="F80" s="501"/>
      <c r="G80" s="501"/>
      <c r="H80" s="501"/>
      <c r="I80" s="501"/>
      <c r="J80" s="161"/>
      <c r="K80" s="314"/>
      <c r="L80" s="379"/>
      <c r="M80" s="314"/>
      <c r="N80" s="265" t="s">
        <v>61</v>
      </c>
      <c r="O80" s="265"/>
      <c r="P80" s="296" t="e">
        <f>K80*($P$49-(-IF(K62&gt;0,K62,8)))</f>
        <v>#VALUE!</v>
      </c>
      <c r="Q80" s="292"/>
      <c r="R80" s="296" t="e">
        <f>M80*($R$49-(-IF(M62&gt;0,M62,930)))</f>
        <v>#VALUE!</v>
      </c>
      <c r="S80" s="265" t="s">
        <v>35</v>
      </c>
      <c r="T80" s="56"/>
      <c r="U80" s="371"/>
      <c r="V80" s="372"/>
      <c r="W80" s="372"/>
      <c r="X80" s="372"/>
      <c r="Y80" s="372"/>
      <c r="Z80" s="372"/>
      <c r="AA80" s="372"/>
      <c r="AB80" s="372"/>
      <c r="AC80" s="372"/>
      <c r="AD80" s="16"/>
    </row>
    <row r="81" spans="2:30" ht="15.5" x14ac:dyDescent="0.3">
      <c r="B81" s="52"/>
      <c r="C81" s="48"/>
      <c r="D81" s="56"/>
      <c r="E81" s="501" t="s">
        <v>489</v>
      </c>
      <c r="F81" s="501"/>
      <c r="G81" s="501"/>
      <c r="H81" s="501"/>
      <c r="I81" s="501"/>
      <c r="J81" s="161"/>
      <c r="K81" s="314"/>
      <c r="L81" s="379"/>
      <c r="M81" s="314"/>
      <c r="N81" s="265" t="s">
        <v>61</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1"/>
      <c r="V81" s="372"/>
      <c r="W81" s="372"/>
      <c r="X81" s="372"/>
      <c r="Y81" s="372"/>
      <c r="Z81" s="372"/>
      <c r="AA81" s="372"/>
      <c r="AB81" s="372"/>
      <c r="AC81" s="372"/>
      <c r="AD81" s="16"/>
    </row>
    <row r="82" spans="2:30" ht="15.5" x14ac:dyDescent="0.3">
      <c r="B82" s="52"/>
      <c r="C82" s="48"/>
      <c r="D82" s="56"/>
      <c r="E82" s="501" t="s">
        <v>400</v>
      </c>
      <c r="F82" s="501"/>
      <c r="G82" s="501"/>
      <c r="H82" s="501"/>
      <c r="I82" s="501"/>
      <c r="J82" s="161"/>
      <c r="K82" s="314"/>
      <c r="L82" s="379"/>
      <c r="M82" s="314"/>
      <c r="N82" s="265" t="s">
        <v>61</v>
      </c>
      <c r="O82" s="265"/>
      <c r="P82" s="296" t="e">
        <f>K82*($P$49-'Data Tables'!O7)</f>
        <v>#VALUE!</v>
      </c>
      <c r="Q82" s="292"/>
      <c r="R82" s="296" t="e">
        <f>M82*($R$49-'Data Tables'!P7)</f>
        <v>#VALUE!</v>
      </c>
      <c r="S82" s="265" t="s">
        <v>35</v>
      </c>
      <c r="T82" s="56"/>
      <c r="U82" s="371"/>
      <c r="V82" s="372"/>
      <c r="W82" s="372"/>
      <c r="X82" s="372"/>
      <c r="Y82" s="372"/>
      <c r="Z82" s="372"/>
      <c r="AA82" s="372"/>
      <c r="AB82" s="372"/>
      <c r="AC82" s="372"/>
      <c r="AD82" s="16"/>
    </row>
    <row r="83" spans="2:30" ht="15.5" x14ac:dyDescent="0.3">
      <c r="B83" s="52"/>
      <c r="C83" s="48"/>
      <c r="D83" s="56"/>
      <c r="E83" s="501" t="s">
        <v>34</v>
      </c>
      <c r="F83" s="501"/>
      <c r="G83" s="501"/>
      <c r="H83" s="501"/>
      <c r="I83" s="501"/>
      <c r="J83" s="161"/>
      <c r="K83" s="314"/>
      <c r="L83" s="379"/>
      <c r="M83" s="314"/>
      <c r="N83" s="265" t="s">
        <v>61</v>
      </c>
      <c r="O83" s="265"/>
      <c r="P83" s="296" t="e">
        <f>K83*($P$49-'Data Tables'!O5)</f>
        <v>#VALUE!</v>
      </c>
      <c r="Q83" s="292"/>
      <c r="R83" s="296" t="e">
        <f>M83*($R$49-'Data Tables'!P5)</f>
        <v>#VALUE!</v>
      </c>
      <c r="S83" s="265" t="s">
        <v>35</v>
      </c>
      <c r="T83" s="56"/>
      <c r="U83" s="371"/>
      <c r="V83" s="372"/>
      <c r="W83" s="372"/>
      <c r="X83" s="372"/>
      <c r="Y83" s="372"/>
      <c r="Z83" s="372"/>
      <c r="AA83" s="372"/>
      <c r="AB83" s="372"/>
      <c r="AC83" s="372"/>
      <c r="AD83" s="16"/>
    </row>
    <row r="84" spans="2:30" ht="15.5" x14ac:dyDescent="0.3">
      <c r="B84" s="52"/>
      <c r="C84" s="48"/>
      <c r="D84" s="56"/>
      <c r="E84" s="501" t="s">
        <v>245</v>
      </c>
      <c r="F84" s="501"/>
      <c r="G84" s="501"/>
      <c r="H84" s="501"/>
      <c r="I84" s="501"/>
      <c r="J84" s="161"/>
      <c r="K84" s="314"/>
      <c r="L84" s="379"/>
      <c r="M84" s="314"/>
      <c r="N84" s="265" t="s">
        <v>61</v>
      </c>
      <c r="O84" s="265"/>
      <c r="P84" s="296" t="e">
        <f>K84*($P$49-'Data Tables'!O6)</f>
        <v>#VALUE!</v>
      </c>
      <c r="Q84" s="292"/>
      <c r="R84" s="296" t="e">
        <f>M84*($R$49-'Data Tables'!P6)</f>
        <v>#VALUE!</v>
      </c>
      <c r="S84" s="265" t="s">
        <v>35</v>
      </c>
      <c r="T84" s="56"/>
      <c r="U84" s="371"/>
      <c r="V84" s="372"/>
      <c r="W84" s="372"/>
      <c r="X84" s="372"/>
      <c r="Y84" s="372"/>
      <c r="Z84" s="372"/>
      <c r="AA84" s="372"/>
      <c r="AB84" s="372"/>
      <c r="AC84" s="372"/>
      <c r="AD84" s="16"/>
    </row>
    <row r="85" spans="2:30" ht="15.5" x14ac:dyDescent="0.3">
      <c r="B85" s="52"/>
      <c r="C85" s="48"/>
      <c r="D85" s="56"/>
      <c r="E85" s="501" t="s">
        <v>439</v>
      </c>
      <c r="F85" s="501"/>
      <c r="G85" s="501"/>
      <c r="H85" s="501"/>
      <c r="I85" s="501"/>
      <c r="J85" s="161"/>
      <c r="K85" s="314"/>
      <c r="L85" s="379"/>
      <c r="M85" s="314"/>
      <c r="N85" s="265" t="s">
        <v>61</v>
      </c>
      <c r="O85" s="265"/>
      <c r="P85" s="296" t="e">
        <f>K85*($P$49-'Data Tables'!O4)</f>
        <v>#VALUE!</v>
      </c>
      <c r="Q85" s="292"/>
      <c r="R85" s="296" t="e">
        <f>M85*($R$49-'Data Tables'!P4)</f>
        <v>#VALUE!</v>
      </c>
      <c r="S85" s="265" t="s">
        <v>35</v>
      </c>
      <c r="T85" s="56"/>
      <c r="U85" s="371"/>
      <c r="V85" s="372"/>
      <c r="W85" s="372"/>
      <c r="X85" s="372"/>
      <c r="Y85" s="372"/>
      <c r="Z85" s="372"/>
      <c r="AA85" s="372"/>
      <c r="AB85" s="372"/>
      <c r="AC85" s="372"/>
      <c r="AD85" s="16"/>
    </row>
    <row r="86" spans="2:30" ht="30" customHeight="1" x14ac:dyDescent="0.3">
      <c r="B86" s="52"/>
      <c r="C86" s="48"/>
      <c r="D86" s="56"/>
      <c r="E86" s="56"/>
      <c r="F86" s="56"/>
      <c r="G86" s="56"/>
      <c r="H86" s="56"/>
      <c r="I86" s="56"/>
      <c r="J86" s="56"/>
      <c r="K86" s="380"/>
      <c r="L86" s="380"/>
      <c r="M86" s="380"/>
      <c r="N86" s="265"/>
      <c r="O86" s="265"/>
      <c r="P86" s="265"/>
      <c r="Q86" s="265"/>
      <c r="R86" s="265"/>
      <c r="S86" s="265"/>
      <c r="T86" s="56"/>
      <c r="U86" s="371"/>
      <c r="V86" s="372"/>
      <c r="W86" s="372"/>
      <c r="X86" s="372"/>
      <c r="Y86" s="372"/>
      <c r="Z86" s="372"/>
      <c r="AA86" s="372"/>
      <c r="AB86" s="372"/>
      <c r="AC86" s="372"/>
      <c r="AD86" s="16"/>
    </row>
    <row r="87" spans="2:30" ht="29.5" customHeight="1" x14ac:dyDescent="0.3">
      <c r="B87" s="52"/>
      <c r="C87" s="48"/>
      <c r="D87" s="56"/>
      <c r="E87" s="56"/>
      <c r="F87" s="495" t="s">
        <v>64</v>
      </c>
      <c r="G87" s="495"/>
      <c r="H87" s="495"/>
      <c r="I87" s="495"/>
      <c r="J87" s="56"/>
      <c r="K87" s="323">
        <f>(SUM(K80:K85))</f>
        <v>0</v>
      </c>
      <c r="L87" s="378"/>
      <c r="M87" s="323">
        <f>(SUM(M80:M85))</f>
        <v>0</v>
      </c>
      <c r="N87" s="272" t="s">
        <v>61</v>
      </c>
      <c r="O87" s="272"/>
      <c r="P87" s="304" t="e">
        <f>K10-(SUM(P80:P85))</f>
        <v>#VALUE!</v>
      </c>
      <c r="Q87" s="297"/>
      <c r="R87" s="304" t="e">
        <f>K11-(SUM(R80:R85))</f>
        <v>#VALUE!</v>
      </c>
      <c r="S87" s="272" t="s">
        <v>15</v>
      </c>
      <c r="T87" s="56"/>
      <c r="U87" s="371"/>
      <c r="V87" s="372"/>
      <c r="W87" s="372"/>
      <c r="X87" s="372"/>
      <c r="Y87" s="372"/>
      <c r="Z87" s="372"/>
      <c r="AA87" s="372"/>
      <c r="AB87" s="372"/>
      <c r="AC87" s="372"/>
      <c r="AD87" s="16"/>
    </row>
    <row r="88" spans="2:30" ht="15" customHeight="1" x14ac:dyDescent="0.3">
      <c r="B88" s="52"/>
      <c r="C88" s="48"/>
      <c r="D88" s="56"/>
      <c r="E88" s="56"/>
      <c r="F88" s="56"/>
      <c r="G88" s="56"/>
      <c r="H88" s="56"/>
      <c r="I88" s="56"/>
      <c r="J88" s="56"/>
      <c r="K88" s="56"/>
      <c r="L88" s="56"/>
      <c r="M88" s="56"/>
      <c r="N88" s="56"/>
      <c r="O88" s="56"/>
      <c r="P88" s="56"/>
      <c r="Q88" s="56"/>
      <c r="R88" s="56"/>
      <c r="S88" s="56"/>
      <c r="T88" s="56"/>
      <c r="U88" s="371"/>
      <c r="V88" s="372"/>
      <c r="W88" s="372"/>
      <c r="X88" s="372"/>
      <c r="Y88" s="372"/>
      <c r="Z88" s="372"/>
      <c r="AA88" s="372"/>
      <c r="AB88" s="372"/>
      <c r="AC88" s="372"/>
      <c r="AD88" s="16"/>
    </row>
    <row r="89" spans="2:30" ht="45.5" customHeight="1" thickBot="1" x14ac:dyDescent="0.35">
      <c r="B89" s="57"/>
      <c r="C89" s="58"/>
      <c r="D89" s="369"/>
      <c r="E89" s="517" t="s">
        <v>443</v>
      </c>
      <c r="F89" s="517"/>
      <c r="G89" s="517"/>
      <c r="H89" s="517"/>
      <c r="I89" s="517"/>
      <c r="J89" s="517"/>
      <c r="K89" s="517"/>
      <c r="L89" s="517"/>
      <c r="M89" s="517"/>
      <c r="N89" s="517"/>
      <c r="O89" s="517"/>
      <c r="P89" s="517"/>
      <c r="Q89" s="517"/>
      <c r="R89" s="517"/>
      <c r="S89" s="517"/>
      <c r="T89" s="517"/>
      <c r="U89" s="381"/>
      <c r="V89" s="372"/>
      <c r="W89" s="372"/>
      <c r="X89" s="372"/>
      <c r="Y89" s="372"/>
      <c r="Z89" s="372"/>
      <c r="AA89" s="372"/>
      <c r="AB89" s="372"/>
      <c r="AC89" s="372"/>
      <c r="AD89" s="16"/>
    </row>
    <row r="90" spans="2:30" ht="18" customHeight="1" x14ac:dyDescent="0.3">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5"/>
    <row r="92" spans="2:30" x14ac:dyDescent="0.25"/>
    <row r="93" spans="2:30" x14ac:dyDescent="0.25"/>
    <row r="94" spans="2:30" x14ac:dyDescent="0.25"/>
    <row r="95" spans="2:30" x14ac:dyDescent="0.25"/>
    <row r="96" spans="2:30" x14ac:dyDescent="0.25"/>
    <row r="97" x14ac:dyDescent="0.25"/>
    <row r="98" x14ac:dyDescent="0.25"/>
  </sheetData>
  <sheetProtection algorithmName="SHA-512" hashValue="bcpp96cW3QvWM5UiAhY+pXRz75nkvnJk8F3Smu3KpBv4iPuPIpfyL5UCgb1knSYdkgARPp2UJq8NT24nLF6NsA==" saltValue="cEGI/bZMLlWl9atStQI3VA==" spinCount="100000" sheet="1" objects="1" scenarios="1" selectLockedCells="1"/>
  <mergeCells count="83">
    <mergeCell ref="E85:I85"/>
    <mergeCell ref="F87:I87"/>
    <mergeCell ref="E89:T89"/>
    <mergeCell ref="E76:T76"/>
    <mergeCell ref="E80:I80"/>
    <mergeCell ref="E81:I81"/>
    <mergeCell ref="E82:I82"/>
    <mergeCell ref="E83:I83"/>
    <mergeCell ref="E84:I84"/>
    <mergeCell ref="F74:I74"/>
    <mergeCell ref="E58:I58"/>
    <mergeCell ref="E59:I59"/>
    <mergeCell ref="F61:J61"/>
    <mergeCell ref="G62:J62"/>
    <mergeCell ref="E63:T63"/>
    <mergeCell ref="E67:I67"/>
    <mergeCell ref="E68:I68"/>
    <mergeCell ref="E69:I69"/>
    <mergeCell ref="E70:I70"/>
    <mergeCell ref="E71:I71"/>
    <mergeCell ref="E72:I72"/>
    <mergeCell ref="E57:I57"/>
    <mergeCell ref="E43:I43"/>
    <mergeCell ref="T43:X43"/>
    <mergeCell ref="E44:I44"/>
    <mergeCell ref="T44:X44"/>
    <mergeCell ref="E46:I46"/>
    <mergeCell ref="T46:X46"/>
    <mergeCell ref="I49:O49"/>
    <mergeCell ref="F52:J52"/>
    <mergeCell ref="E54:I54"/>
    <mergeCell ref="E55:I55"/>
    <mergeCell ref="E56:I56"/>
    <mergeCell ref="E40:I40"/>
    <mergeCell ref="T40:X40"/>
    <mergeCell ref="E41:I41"/>
    <mergeCell ref="T41:X41"/>
    <mergeCell ref="E42:I42"/>
    <mergeCell ref="T42:X42"/>
    <mergeCell ref="E37:I37"/>
    <mergeCell ref="T37:X37"/>
    <mergeCell ref="E38:I38"/>
    <mergeCell ref="T38:X38"/>
    <mergeCell ref="E39:I39"/>
    <mergeCell ref="T39:X39"/>
    <mergeCell ref="E34:I34"/>
    <mergeCell ref="T34:X34"/>
    <mergeCell ref="E35:I35"/>
    <mergeCell ref="T35:X35"/>
    <mergeCell ref="E36:I36"/>
    <mergeCell ref="T36:X36"/>
    <mergeCell ref="E31:I31"/>
    <mergeCell ref="T31:X31"/>
    <mergeCell ref="E32:I32"/>
    <mergeCell ref="T32:X32"/>
    <mergeCell ref="E33:I33"/>
    <mergeCell ref="T33:X33"/>
    <mergeCell ref="E28:I28"/>
    <mergeCell ref="T28:X28"/>
    <mergeCell ref="E29:I29"/>
    <mergeCell ref="T29:X29"/>
    <mergeCell ref="E30:I30"/>
    <mergeCell ref="T30:X30"/>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F3:T3"/>
    <mergeCell ref="E4:T6"/>
    <mergeCell ref="F8:J8"/>
    <mergeCell ref="F14:J14"/>
    <mergeCell ref="K16:M16"/>
    <mergeCell ref="T16:X16"/>
  </mergeCells>
  <dataValidations count="4">
    <dataValidation type="list" allowBlank="1" showInputMessage="1" showErrorMessage="1" sqref="Y23" xr:uid="{254E5D87-852B-4D56-BCEE-347DA565BE15}">
      <formula1>"550-575,575-600,600-625,625-650,650-675,675-700,700-750,750-800,800-850,850-900"</formula1>
    </dataValidation>
    <dataValidation type="list" allowBlank="1" showInputMessage="1" showErrorMessage="1" sqref="Y22" xr:uid="{79E7B94E-1899-47CF-BC45-08A17F5EEA74}">
      <formula1>"Freely draining, Impermeable - drained for arable, Impermeable - drained for arable and grassland"</formula1>
    </dataValidation>
    <dataValidation type="list" allowBlank="1" showInputMessage="1" showErrorMessage="1" sqref="Y21" xr:uid="{DA4F2BE8-095D-4B75-B259-EEF23248B638}">
      <formula1>"Wensum, Yare, Bure"</formula1>
    </dataValidation>
    <dataValidation type="list" allowBlank="1" showInputMessage="1" showErrorMessage="1" sqref="Y16 N22:N24 K16:L16 Y24 N27:N44 Y27:Y44" xr:uid="{33322707-8619-4676-B7FA-7EF7DB66C65C}">
      <formula1>"Yes,No"</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Introduction</vt:lpstr>
      <vt:lpstr>Info</vt:lpstr>
      <vt:lpstr>Stage 1</vt:lpstr>
      <vt:lpstr>Stage 2</vt:lpstr>
      <vt:lpstr>Stage 3</vt:lpstr>
      <vt:lpstr>Stage 4</vt:lpstr>
      <vt:lpstr>Mitigation - current</vt:lpstr>
      <vt:lpstr>Mitigation - post 2025</vt:lpstr>
      <vt:lpstr>Mitigation - post 2030</vt:lpstr>
      <vt:lpstr>Mitigation comparison</vt:lpstr>
      <vt:lpstr>Zero value Calc</vt:lpstr>
      <vt:lpstr>Graph Calculations</vt:lpstr>
      <vt:lpstr>Rainfall</vt:lpstr>
      <vt:lpstr>Data Tables</vt:lpstr>
      <vt:lpstr>'Mitigation - post 2025'!OsTWs</vt:lpstr>
      <vt:lpstr>'Mitigation - post 2030'!OsTWs</vt:lpstr>
      <vt:lpstr>OsTWs</vt:lpstr>
      <vt:lpstr>permit</vt:lpstr>
      <vt:lpstr>permits</vt:lpstr>
      <vt:lpstr>permits_2030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Company>Royal HaskoningDHV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Oliver Bowers</dc:creator>
  <cp:lastModifiedBy>Oliver Bowers</cp:lastModifiedBy>
  <cp:lastPrinted>2021-01-24T14:08:25Z</cp:lastPrinted>
  <dcterms:created xsi:type="dcterms:W3CDTF">2020-11-21T09:26:11Z</dcterms:created>
  <dcterms:modified xsi:type="dcterms:W3CDTF">2022-10-06T10:14:27Z</dcterms:modified>
</cp:coreProperties>
</file>