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rient_Budget_Calculators_V02_2_240124\"/>
    </mc:Choice>
  </mc:AlternateContent>
  <xr:revisionPtr revIDLastSave="34" documentId="13_ncr:1_{37AD2829-6848-4A91-8013-837A14C179D8}" xr6:coauthVersionLast="47" xr6:coauthVersionMax="47" xr10:uidLastSave="{1614DCD5-B7DE-4362-96F6-536A773F96BD}"/>
  <workbookProtection workbookAlgorithmName="SHA-512" workbookHashValue="B4IZyLniexVwnVvzlWfBX3H+dtuSpxshlLEIqtuqZnBYZF8p/EO3RUqxu3izk5hRIlBsY8+jw+pEr4S6gCfmVg==" workbookSaltValue="sJr3sWz/WKyQfdR8JKo97A==" workbookSpinCount="100000" lockStructure="1"/>
  <bookViews>
    <workbookView xWindow="-120" yWindow="-16320" windowWidth="29040" windowHeight="15840" tabRatio="801" firstSheet="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1" l="1"/>
  <c r="B11" i="21" l="1"/>
  <c r="B14" i="21"/>
  <c r="B15" i="21"/>
  <c r="A25" i="21"/>
  <c r="A24" i="21"/>
  <c r="A23" i="21"/>
  <c r="A18" i="21"/>
  <c r="A15" i="21"/>
  <c r="A14" i="21"/>
  <c r="H440" i="3"/>
  <c r="G440" i="3"/>
  <c r="E12" i="8"/>
  <c r="E13" i="8"/>
  <c r="E14" i="8"/>
  <c r="E15" i="8"/>
  <c r="E16" i="8"/>
  <c r="E17" i="8"/>
  <c r="E18" i="8"/>
  <c r="E19" i="8"/>
  <c r="E20" i="8"/>
  <c r="E21" i="8"/>
  <c r="E22" i="8"/>
  <c r="E23" i="8"/>
  <c r="E24" i="8"/>
  <c r="E25" i="8"/>
  <c r="E26" i="8"/>
  <c r="E27" i="8"/>
  <c r="E11" i="8"/>
  <c r="B12" i="21" l="1"/>
  <c r="B24" i="21" l="1"/>
  <c r="A535" i="3" a="1"/>
  <c r="A535" i="3" s="1"/>
  <c r="I5" i="22"/>
  <c r="J5" i="22"/>
  <c r="I6" i="22"/>
  <c r="J6" i="22"/>
  <c r="I7" i="22"/>
  <c r="J7" i="22"/>
  <c r="I8" i="22"/>
  <c r="J8" i="22"/>
  <c r="I9" i="22"/>
  <c r="J9" i="22"/>
  <c r="I10" i="22"/>
  <c r="J10" i="22"/>
  <c r="I11" i="22"/>
  <c r="J11" i="22"/>
  <c r="I12" i="22"/>
  <c r="J12" i="22"/>
  <c r="I13" i="22"/>
  <c r="J13" i="22"/>
  <c r="I14" i="22"/>
  <c r="J14" i="22"/>
  <c r="I15" i="22"/>
  <c r="J15" i="22"/>
  <c r="I16" i="22"/>
  <c r="J16" i="22"/>
  <c r="I17" i="22"/>
  <c r="J17" i="22"/>
  <c r="I18" i="22"/>
  <c r="J18" i="22"/>
  <c r="I19" i="22"/>
  <c r="J19" i="22"/>
  <c r="I20" i="22"/>
  <c r="J20" i="22"/>
  <c r="I21" i="22"/>
  <c r="J21" i="22"/>
  <c r="I22" i="22"/>
  <c r="J22" i="22"/>
  <c r="I23" i="22"/>
  <c r="J23" i="22"/>
  <c r="I24" i="22"/>
  <c r="J24" i="22"/>
  <c r="I25" i="22"/>
  <c r="J25" i="22"/>
  <c r="I26" i="22"/>
  <c r="J26" i="22"/>
  <c r="I27" i="22"/>
  <c r="J27" i="22"/>
  <c r="I28" i="22"/>
  <c r="J28" i="22"/>
  <c r="K5" i="22"/>
  <c r="K6" i="22"/>
  <c r="K7" i="22"/>
  <c r="K8" i="22"/>
  <c r="K9" i="22"/>
  <c r="K10" i="22"/>
  <c r="K11" i="22"/>
  <c r="K12" i="22"/>
  <c r="K13" i="22"/>
  <c r="K14" i="22"/>
  <c r="K15" i="22"/>
  <c r="K16" i="22"/>
  <c r="K17" i="22"/>
  <c r="K18" i="22"/>
  <c r="K19" i="22"/>
  <c r="K20" i="22"/>
  <c r="K21" i="22"/>
  <c r="K22" i="22"/>
  <c r="K23" i="22"/>
  <c r="K24" i="22"/>
  <c r="K25" i="22"/>
  <c r="K26" i="22"/>
  <c r="K27" i="22"/>
  <c r="K28" i="22"/>
  <c r="K4" i="22"/>
  <c r="K29" i="22"/>
  <c r="D8" i="22"/>
  <c r="E8" i="22"/>
  <c r="D9" i="22"/>
  <c r="E9" i="22"/>
  <c r="D10" i="22"/>
  <c r="E10" i="22"/>
  <c r="D11" i="22"/>
  <c r="E11" i="22"/>
  <c r="D12" i="22"/>
  <c r="E12" i="22"/>
  <c r="D13" i="22"/>
  <c r="E13" i="22"/>
  <c r="D14" i="22"/>
  <c r="E14" i="22"/>
  <c r="D15" i="22"/>
  <c r="E15" i="22"/>
  <c r="D16" i="22"/>
  <c r="E16" i="22"/>
  <c r="D17" i="22"/>
  <c r="E17" i="22"/>
  <c r="D18" i="22"/>
  <c r="E18" i="22"/>
  <c r="D19" i="22"/>
  <c r="E19" i="22"/>
  <c r="D20" i="22"/>
  <c r="E20" i="22"/>
  <c r="D21" i="22"/>
  <c r="E21" i="22"/>
  <c r="D22" i="22"/>
  <c r="E22" i="22"/>
  <c r="D23" i="22"/>
  <c r="E23" i="22"/>
  <c r="D24" i="22"/>
  <c r="E24" i="22"/>
  <c r="D25" i="22"/>
  <c r="E25" i="22"/>
  <c r="D26" i="22"/>
  <c r="E26" i="22"/>
  <c r="D27" i="22"/>
  <c r="E27" i="22"/>
  <c r="D28" i="22"/>
  <c r="E28" i="22"/>
  <c r="E5" i="22"/>
  <c r="E6" i="22"/>
  <c r="D5" i="22"/>
  <c r="D6" i="22"/>
  <c r="E7" i="22"/>
  <c r="D7" i="22"/>
  <c r="B29" i="22" l="1"/>
  <c r="C13" i="8" l="1"/>
  <c r="D13" i="8"/>
  <c r="B19" i="21"/>
  <c r="B20" i="21" s="1"/>
  <c r="A16" i="10"/>
  <c r="A12" i="21"/>
  <c r="A18" i="10" l="1"/>
  <c r="A17" i="10"/>
  <c r="H446" i="3" l="1"/>
  <c r="H445" i="3"/>
  <c r="G446" i="3"/>
  <c r="G445" i="3"/>
  <c r="H444" i="3"/>
  <c r="G444" i="3"/>
  <c r="D17" i="8" l="1"/>
  <c r="C17" i="8" l="1"/>
  <c r="D8" i="9"/>
  <c r="D9" i="9"/>
  <c r="D10" i="9"/>
  <c r="D11" i="9"/>
  <c r="D12" i="9"/>
  <c r="D13" i="9"/>
  <c r="C8" i="9"/>
  <c r="C9" i="9"/>
  <c r="C10" i="9"/>
  <c r="C11" i="9"/>
  <c r="C12" i="9"/>
  <c r="C13" i="9"/>
  <c r="B21" i="21" l="1"/>
  <c r="B5" i="10" s="1"/>
  <c r="D6" i="9"/>
  <c r="F446" i="3"/>
  <c r="F445" i="3"/>
  <c r="F444" i="3"/>
  <c r="F443" i="3"/>
  <c r="F442" i="3"/>
  <c r="F441" i="3"/>
  <c r="F440" i="3"/>
  <c r="F439" i="3"/>
  <c r="D7" i="9" l="1"/>
  <c r="C7" i="9"/>
  <c r="B13" i="21"/>
  <c r="A28" i="21"/>
  <c r="A27" i="21"/>
  <c r="D5" i="9"/>
  <c r="C5" i="9"/>
  <c r="C12" i="8"/>
  <c r="D11" i="8"/>
  <c r="D12" i="8"/>
  <c r="C11" i="8"/>
  <c r="A13" i="10"/>
  <c r="A13" i="21"/>
  <c r="C26" i="8"/>
  <c r="D25" i="8"/>
  <c r="D24" i="8"/>
  <c r="D16" i="8"/>
  <c r="D22" i="8"/>
  <c r="D14" i="8"/>
  <c r="D23" i="8"/>
  <c r="D15" i="8"/>
  <c r="D18" i="8"/>
  <c r="D21" i="8"/>
  <c r="D26" i="8"/>
  <c r="D20" i="8"/>
  <c r="D19" i="8"/>
  <c r="C20" i="8"/>
  <c r="D16" i="9"/>
  <c r="C17" i="9"/>
  <c r="C18" i="9"/>
  <c r="C21" i="8"/>
  <c r="D17" i="9"/>
  <c r="C14" i="8"/>
  <c r="C22" i="8"/>
  <c r="D18" i="9"/>
  <c r="C19" i="9"/>
  <c r="D19" i="9"/>
  <c r="C20" i="9"/>
  <c r="C19" i="8"/>
  <c r="C15" i="8"/>
  <c r="C23" i="8"/>
  <c r="C16" i="8"/>
  <c r="C24" i="8"/>
  <c r="D20" i="9"/>
  <c r="D15" i="9"/>
  <c r="C16" i="9"/>
  <c r="C25" i="8"/>
  <c r="C14" i="9"/>
  <c r="C15" i="9"/>
  <c r="C18" i="8"/>
  <c r="D14" i="9"/>
  <c r="C21" i="9"/>
  <c r="D27" i="8"/>
  <c r="C6" i="9"/>
  <c r="B25" i="21" l="1"/>
  <c r="B28" i="21"/>
  <c r="B22" i="21"/>
  <c r="B9" i="10" s="1"/>
  <c r="B27" i="21"/>
  <c r="A26" i="21" s="1"/>
  <c r="D4" i="22"/>
  <c r="I4" i="22" s="1"/>
  <c r="I29" i="22" s="1"/>
  <c r="E4" i="22"/>
  <c r="E29" i="22" s="1"/>
  <c r="D21" i="9"/>
  <c r="C22" i="9"/>
  <c r="C27" i="8"/>
  <c r="D29" i="22" l="1"/>
  <c r="J4" i="22"/>
  <c r="J29" i="22" s="1"/>
  <c r="D28" i="8"/>
  <c r="D22" i="9"/>
  <c r="C28" i="8"/>
  <c r="B6" i="10" s="1"/>
  <c r="B17" i="10" s="1"/>
  <c r="B10" i="10" l="1"/>
  <c r="B7" i="10"/>
  <c r="B8" i="10" s="1"/>
  <c r="B11" i="10" l="1"/>
  <c r="B12" i="10" s="1"/>
  <c r="B15" i="10" s="1"/>
  <c r="B18" i="10"/>
  <c r="B14" i="10"/>
  <c r="B22" i="9"/>
  <c r="B28" i="8"/>
  <c r="B20" i="10" l="1"/>
  <c r="A19" i="10" l="1"/>
  <c r="B21" i="10"/>
  <c r="A20" i="10" l="1"/>
  <c r="A21" i="10"/>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<sst xmlns="http://schemas.openxmlformats.org/spreadsheetml/2006/main" count="2507" uniqueCount="604">
  <si>
    <t>Natural England Nutrient Neutrality budget calculator for The Broads SAC and Ramsar</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</si>
  <si>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</si>
  <si>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</si>
  <si>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</si>
  <si>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</si>
  <si>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</si>
  <si>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</si>
  <si>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</si>
  <si>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</si>
  <si>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</si>
  <si>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</si>
  <si>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</si>
  <si>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</si>
  <si>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</si>
  <si>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</si>
  <si>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</si>
  <si>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</si>
  <si>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</si>
  <si>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</si>
  <si>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</si>
  <si>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</si>
  <si>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</si>
  <si>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</si>
  <si>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</si>
  <si>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</si>
  <si>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</si>
  <si>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</si>
  <si>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</si>
  <si>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</si>
  <si>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</si>
  <si>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</si>
  <si>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</si>
  <si>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</si>
  <si>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</si>
  <si>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</si>
  <si>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</si>
  <si>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</si>
  <si>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nitrogen (TN) or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</si>
  <si>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</si>
  <si>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B21,B22, B24, B25, B27 or B28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</si>
  <si>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</si>
  <si>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</si>
  <si>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</si>
  <si>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</si>
  <si>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</si>
  <si>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</si>
  <si>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</si>
  <si>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</si>
  <si>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</si>
  <si>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the development site can be found using the Soilscapes Map</t>
  </si>
  <si>
    <t>Soilscapes</t>
  </si>
  <si>
    <t>The annual average rainfall that the development will receive can be found using the National River Flow Archive for the '34002- Tas at Shotesham' station</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</si>
  <si>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</si>
  <si>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</si>
  <si>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</si>
  <si>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</si>
  <si>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</si>
  <si>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</si>
  <si>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</si>
  <si>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</si>
  <si>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</si>
  <si>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</si>
  <si>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</si>
  <si>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</si>
  <si>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</si>
  <si>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12 to 15 and column C. User inputs are required for cells B5 to B9. In addition, user inputs are required in C10 and C11 depending on the information entered by the user. The second table 'Table_4_Wastewater_Load' may contain blank cells in rows 23 to 28.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the receiving WwTW from the drop-down list in cell B9. The drop-down lists can be accessed by clicking the arrow or pressing the 'Alt' + 'Down' keys when the cell is selected. If the user selects 'Package Treatment Plant user defined' or 'Septic Tank user defined', the user must enter their certified value of TP in cell C10 or TN in cell C11.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B10 to B15. If applicable, up to three values for the nutrient loading associated with wastewater will be calculated for the loading will be presented in cell B21, B22, B24, B25, B27 or B28.</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</si>
  <si>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</si>
  <si>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</si>
  <si>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</si>
  <si>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</si>
  <si>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</si>
  <si>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</si>
  <si>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</si>
  <si>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</si>
  <si>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</si>
  <si>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</si>
  <si>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</si>
  <si>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</si>
  <si>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</si>
  <si>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</si>
  <si>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</si>
  <si>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</si>
  <si>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</si>
  <si>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</si>
  <si>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t>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E)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for TP and D11-D27 for TN. 
The total nutrient load from current land uses is shown in cell C28 for TP and D28 for TN.</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</si>
  <si>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</si>
  <si>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</si>
  <si>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</si>
  <si>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</si>
  <si>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</si>
  <si>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</si>
  <si>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</si>
  <si>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</si>
  <si>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</si>
  <si>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nutrient export  
(kg TP/yr)</t>
  </si>
  <si>
    <t>Annual nitrogen nutrient export  
(kg TN/yr)</t>
  </si>
  <si>
    <t>Notes on data</t>
  </si>
  <si>
    <t>Totals:</t>
  </si>
  <si>
    <t xml:space="preserve">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for TP and D5-D21 for TN. 
The total nutrient load from future land uses is shown in cell C22 for TP and D22 for TN. </t>
  </si>
  <si>
    <t>Future land uses</t>
  </si>
  <si>
    <t>New land use type(s)</t>
  </si>
  <si>
    <t>Annual phosphorus nutrient export 
(kg TP/yr)</t>
  </si>
  <si>
    <t>Annual nitrogen nutrient export
(kg TN/yr)</t>
  </si>
  <si>
    <t>Nutrients from future land use after SuDS treatment</t>
  </si>
  <si>
    <t>This sheet contains one table. 'Table_8_SuDS_Features' requires user inputs in cells A4 to C28 and F4 to H28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and TN loads associated with the landcovers in the SuDS catchment area are automatically calculated in cells D4-D28 and E4-E28, respectively.
The name of the SuDS features used to intercept surface flows can be entered in F4-F28. Any text can be entered into these cells.
The nutrient removal rates associated with the SuDS features can be entered into G4-G28 and H4-H28 for TP and TN, respectively. These values must be identified by the user and must be specific to the SuDS features being implemented.
The annual TP and TN loads removed by the SuDS features are automatically calculated in cells I4-I28 and J4-J28, respectively. These values are subtracted from the nutrient budget.
The 'Notes on data' column (Column K)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I29 for TP and J29 for TN.</t>
  </si>
  <si>
    <t>New land use type(s) within SuDS catchment area</t>
  </si>
  <si>
    <t>SuDS catchment area (ha)</t>
  </si>
  <si>
    <t>Percentage of flow entering the SuDS (%)</t>
  </si>
  <si>
    <t>Annual phosphorus inputs to SuDS feature(s)
(kg TP/yr)</t>
  </si>
  <si>
    <t>Annual nitrogen inputs to SuDS feature(s)
(kg TN/yr)</t>
  </si>
  <si>
    <t>Name of SuDS feature(s)</t>
  </si>
  <si>
    <t>TP removal rate for features - user specified (%)</t>
  </si>
  <si>
    <t>TN removal rate for features - user specified (%)</t>
  </si>
  <si>
    <t>Annual phosphorus load removed by SuDS
(kg TP/yr)</t>
  </si>
  <si>
    <t>Annual nitrogen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</si>
  <si>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</si>
  <si>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B14, B17 and B20 for TP, or B15, B18 and B21 for TN. Some cells may be empty if there are no changing permits.</t>
  </si>
  <si>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</si>
  <si>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</si>
  <si>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</si>
  <si>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</si>
  <si>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</si>
  <si>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</si>
  <si>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</si>
  <si>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</si>
  <si>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</si>
  <si>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</si>
  <si>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</si>
  <si>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</si>
  <si>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</si>
  <si>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</si>
  <si>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</si>
  <si>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</si>
  <si>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</si>
  <si>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</si>
  <si>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</si>
  <si>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</si>
  <si>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Aldborough Water Recycling Centre</t>
  </si>
  <si>
    <t>Ashmanaugh</t>
  </si>
  <si>
    <t>Ashwellthorpe Water Recycling Centre</t>
  </si>
  <si>
    <t>Aylsham Water Recycling Centre</t>
  </si>
  <si>
    <t>Barford Water Recycling Centre</t>
  </si>
  <si>
    <t>Barnham Broom Water Recycling Centre</t>
  </si>
  <si>
    <t>Barton Turf</t>
  </si>
  <si>
    <t>Belaugh Water Recycling Centre</t>
  </si>
  <si>
    <t xml:space="preserve">Billingford STW </t>
  </si>
  <si>
    <t>Bircham Newton (Monks Close) WRC</t>
  </si>
  <si>
    <t>Brisley</t>
  </si>
  <si>
    <t>Briston Water Recycling Centre</t>
  </si>
  <si>
    <t>Bunwell STW</t>
  </si>
  <si>
    <t>Bylaugh Water Recycling Centre</t>
  </si>
  <si>
    <t>Carleton Rode</t>
  </si>
  <si>
    <t>Carleton Rode STW</t>
  </si>
  <si>
    <t>Coltishall STW</t>
  </si>
  <si>
    <t>Corpusty STW</t>
  </si>
  <si>
    <t>Cranworth STW</t>
  </si>
  <si>
    <t>Deopham STW</t>
  </si>
  <si>
    <t>Dereham WRC</t>
  </si>
  <si>
    <t>East Bilney STW</t>
  </si>
  <si>
    <t>East Ruston STW</t>
  </si>
  <si>
    <t>Fakenham (Old And New) WRC</t>
  </si>
  <si>
    <t>Felmingham Water Recycling Centre</t>
  </si>
  <si>
    <t>Forncett End STW</t>
  </si>
  <si>
    <t>Forncett St. Peter STW</t>
  </si>
  <si>
    <t>Foulsham Water Recycling Centre</t>
  </si>
  <si>
    <t>Fritton School Lane STW</t>
  </si>
  <si>
    <t>Fundenhall STW</t>
  </si>
  <si>
    <t>Garvestone Reymerston Road STW</t>
  </si>
  <si>
    <t>Garvestone, Dereham Road</t>
  </si>
  <si>
    <t>Gateley STW</t>
  </si>
  <si>
    <t>Great Melton STW</t>
  </si>
  <si>
    <t>Gresham STW</t>
  </si>
  <si>
    <t>Hardwick STW</t>
  </si>
  <si>
    <t>Hempnall Water Recycling Centre</t>
  </si>
  <si>
    <t>Hindolveston Oxigest</t>
  </si>
  <si>
    <t>Hindolveston STW</t>
  </si>
  <si>
    <t>Hockering STW</t>
  </si>
  <si>
    <t>Honing STW</t>
  </si>
  <si>
    <t>Little Fransham Cro STW</t>
  </si>
  <si>
    <t>Little Fransham(Gc) STW</t>
  </si>
  <si>
    <t>Long Stratton WRC</t>
  </si>
  <si>
    <t>Ludham Water Recycling Centre</t>
  </si>
  <si>
    <t>Mattishall STW</t>
  </si>
  <si>
    <t>North Elmham STW</t>
  </si>
  <si>
    <t>North Tuddenham STW</t>
  </si>
  <si>
    <t>Rackheath Water Recycling Centre</t>
  </si>
  <si>
    <t>Reepham Water Recycling Centre</t>
  </si>
  <si>
    <t>Ridlington(Norfolk) STW</t>
  </si>
  <si>
    <t>Roughton Water Recycling Centre</t>
  </si>
  <si>
    <t>Saxlingham STW</t>
  </si>
  <si>
    <t>School Lane</t>
  </si>
  <si>
    <t>Sculthorpe STW</t>
  </si>
  <si>
    <t>Shipdham STW</t>
  </si>
  <si>
    <t>Shotesham The Grove STW</t>
  </si>
  <si>
    <t>Skeyton STW</t>
  </si>
  <si>
    <t>Sloley STW</t>
  </si>
  <si>
    <t>Smallburgh STW</t>
  </si>
  <si>
    <t>South Raynham</t>
  </si>
  <si>
    <t>Southrepps STW</t>
  </si>
  <si>
    <t>Sparham Norwich Road WRC</t>
  </si>
  <si>
    <t>Sparham(Wells Close)</t>
  </si>
  <si>
    <t>Stalham Water Recycling Centre</t>
  </si>
  <si>
    <t>Stanfield STW</t>
  </si>
  <si>
    <t>Stibbard Moor End STW</t>
  </si>
  <si>
    <t>Stoke Holy Cross STW</t>
  </si>
  <si>
    <t>Swanton Abbott STW</t>
  </si>
  <si>
    <t>Swanton Morley Water Recycling Centre</t>
  </si>
  <si>
    <t>Swanton Novers STW</t>
  </si>
  <si>
    <t>Swardeston STW</t>
  </si>
  <si>
    <t>The Street</t>
  </si>
  <si>
    <t>Weasenham All Saints STW</t>
  </si>
  <si>
    <t>Weasenham St.Peter STW</t>
  </si>
  <si>
    <t>Wendling STW</t>
  </si>
  <si>
    <t>West Raynham STW</t>
  </si>
  <si>
    <t>Whitlingham Water Recycling Centre</t>
  </si>
  <si>
    <t>Wymondham Water Recycling Centre</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</si>
  <si>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</si>
  <si>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</si>
  <si>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</si>
  <si>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</si>
  <si>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</si>
  <si>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</si>
  <si>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</si>
  <si>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</si>
  <si>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</si>
  <si>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</si>
  <si>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</si>
  <si>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</si>
  <si>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</si>
  <si>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</si>
  <si>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</si>
  <si>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</si>
  <si>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</si>
  <si>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</si>
  <si>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Wensum</t>
  </si>
  <si>
    <t>Cereals</t>
  </si>
  <si>
    <t>600to700</t>
  </si>
  <si>
    <t>FreeDrain</t>
  </si>
  <si>
    <t>Wensum|Cereals|FALSE|600to700|FreeDrain</t>
  </si>
  <si>
    <t>Cereals|600to700</t>
  </si>
  <si>
    <t>Wensum|Cereals|TRUE|600to700|FreeDrain</t>
  </si>
  <si>
    <t>DrainedAr</t>
  </si>
  <si>
    <t>Wensum|Cereals|FALSE|600to700|DrainedAr</t>
  </si>
  <si>
    <t>Wensum|Cereals|TRUE|600to700|DrainedAr</t>
  </si>
  <si>
    <t>DrainedArGr</t>
  </si>
  <si>
    <t>Wensum|Cereals|FALSE|600to700|DrainedArGr</t>
  </si>
  <si>
    <t>Wensum|Cereals|TRUE|600to700|DrainedArGr</t>
  </si>
  <si>
    <t>700to900</t>
  </si>
  <si>
    <t>Wensum|Cereals|FALSE|700to900|FreeDrain</t>
  </si>
  <si>
    <t>Cereals|700to900</t>
  </si>
  <si>
    <t>Wensum|Cereals|TRUE|700to900|FreeDrain</t>
  </si>
  <si>
    <t>Wensum|Cereals|FALSE|700to900|DrainedAr</t>
  </si>
  <si>
    <t>Wensum|Cereals|TRUE|700to900|DrainedAr</t>
  </si>
  <si>
    <t>Wensum|Cereals|FALSE|700to900|DrainedArGr</t>
  </si>
  <si>
    <t>Wensum|Cereals|TRUE|700to900|DrainedArGr</t>
  </si>
  <si>
    <t>General</t>
  </si>
  <si>
    <t>Wensum|General|FALSE|600to700|FreeDrain</t>
  </si>
  <si>
    <t>General|600to700</t>
  </si>
  <si>
    <t>Wensum|General|TRUE|600to700|FreeDrain</t>
  </si>
  <si>
    <t>Wensum|General|FALSE|600to700|DrainedAr</t>
  </si>
  <si>
    <t>Wensum|General|TRUE|600to700|DrainedAr</t>
  </si>
  <si>
    <t>Wensum|General|TRUE|600to700|DrainedArGr</t>
  </si>
  <si>
    <t>Wensum|General|FALSE|700to900|FreeDrain</t>
  </si>
  <si>
    <t>General|700to900</t>
  </si>
  <si>
    <t>Wensum|General|TRUE|700to900|FreeDrain</t>
  </si>
  <si>
    <t>Wensum|General|FALSE|700to900|DrainedAr</t>
  </si>
  <si>
    <t>Wensum|General|TRUE|700to900|DrainedAr</t>
  </si>
  <si>
    <t>Wensum|General|FALSE|700to900|DrainedArGr</t>
  </si>
  <si>
    <t>Wensum|General|TRUE|700to900|DrainedArGr</t>
  </si>
  <si>
    <t>Horticulture</t>
  </si>
  <si>
    <t>Wensum|Horticulture|FALSE|600to700|FreeDrain</t>
  </si>
  <si>
    <t>Horticulture|600to700</t>
  </si>
  <si>
    <t>Wensum|Horticulture|FALSE|600to700|DrainedAr</t>
  </si>
  <si>
    <t>Wensum|Horticulture|TRUE|600to700|DrainedAr</t>
  </si>
  <si>
    <t>Wensum|Horticulture|TRUE|700to900|FreeDrain</t>
  </si>
  <si>
    <t>Horticulture|700to900</t>
  </si>
  <si>
    <t>Wensum|Horticulture|FALSE|700to900|DrainedAr</t>
  </si>
  <si>
    <t>Wensum|Horticulture|FALSE|700to900|DrainedArGr</t>
  </si>
  <si>
    <t>Pig</t>
  </si>
  <si>
    <t>Wensum|Pig|FALSE|600to700|FreeDrain</t>
  </si>
  <si>
    <t>Pig|600to700</t>
  </si>
  <si>
    <t>Wensum|Pig|TRUE|600to700|FreeDrain</t>
  </si>
  <si>
    <t>Wensum|Pig|FALSE|600to700|DrainedAr</t>
  </si>
  <si>
    <t>Wensum|Pig|TRUE|600to700|DrainedAr</t>
  </si>
  <si>
    <t>Wensum|Pig|TRUE|600to700|DrainedArGr</t>
  </si>
  <si>
    <t>Wensum|Pig|TRUE|700to900|FreeDrain</t>
  </si>
  <si>
    <t>Pig|700to900</t>
  </si>
  <si>
    <t>Wensum|Pig|FALSE|700to900|DrainedAr</t>
  </si>
  <si>
    <t>Wensum|Pig|TRUE|700to900|DrainedAr</t>
  </si>
  <si>
    <t>Wensum|Pig|FALSE|700to900|DrainedArGr</t>
  </si>
  <si>
    <t>Wensum|Pig|TRUE|700to900|DrainedArGr</t>
  </si>
  <si>
    <t>Poultry</t>
  </si>
  <si>
    <t>Wensum|Poultry|FALSE|600to700|FreeDrain</t>
  </si>
  <si>
    <t>Poultry|600to700</t>
  </si>
  <si>
    <t>Wensum|Poultry|FALSE|600to700|DrainedAr</t>
  </si>
  <si>
    <t>Wensum|Poultry|TRUE|600to700|DrainedAr</t>
  </si>
  <si>
    <t>Wensum|Poultry|FALSE|600to700|DrainedArGr</t>
  </si>
  <si>
    <t>Wensum|Poultry|TRUE|700to900|FreeDrain</t>
  </si>
  <si>
    <t>Poultry|700to900</t>
  </si>
  <si>
    <t>Wensum|Poultry|FALSE|700to900|DrainedAr</t>
  </si>
  <si>
    <t>Wensum|Poultry|TRUE|700to900|DrainedAr</t>
  </si>
  <si>
    <t>Wensum|Poultry|FALSE|700to900|DrainedArGr</t>
  </si>
  <si>
    <t>Wensum|Poultry|TRUE|700to900|DrainedArGr</t>
  </si>
  <si>
    <t>Dairy</t>
  </si>
  <si>
    <t>Wensum|Dairy|FALSE|600to700|DrainedAr</t>
  </si>
  <si>
    <t>Dairy|600to700</t>
  </si>
  <si>
    <t>Wensum|Dairy|TRUE|600to700|DrainedAr</t>
  </si>
  <si>
    <t>Wensum|Dairy|FALSE|600to700|DrainedArGr</t>
  </si>
  <si>
    <t>Wensum|Dairy|TRUE|600to700|DrainedArGr</t>
  </si>
  <si>
    <t>Wensum|Dairy|FALSE|700to900|DrainedAr</t>
  </si>
  <si>
    <t>Dairy|700to900</t>
  </si>
  <si>
    <t>Wensum|Dairy|TRUE|700to900|DrainedAr</t>
  </si>
  <si>
    <t>Wensum|Dairy|FALSE|700to900|DrainedArGr</t>
  </si>
  <si>
    <t>Wensum|Dairy|TRUE|700to900|DrainedArGr</t>
  </si>
  <si>
    <t>Lowland</t>
  </si>
  <si>
    <t>Wensum|Lowland|FALSE|600to700|FreeDrain</t>
  </si>
  <si>
    <t>Lowland|600to700</t>
  </si>
  <si>
    <t>Wensum|Lowland|TRUE|600to700|FreeDrain</t>
  </si>
  <si>
    <t>Wensum|Lowland|FALSE|600to700|DrainedAr</t>
  </si>
  <si>
    <t>Wensum|Lowland|TRUE|600to700|DrainedAr</t>
  </si>
  <si>
    <t>Wensum|Lowland|TRUE|600to700|DrainedArGr</t>
  </si>
  <si>
    <t>Wensum|Lowland|TRUE|700to900|FreeDrain</t>
  </si>
  <si>
    <t>Lowland|700to900</t>
  </si>
  <si>
    <t>Wensum|Lowland|FALSE|700to900|DrainedAr</t>
  </si>
  <si>
    <t>Wensum|Lowland|TRUE|700to900|DrainedAr</t>
  </si>
  <si>
    <t>Wensum|Lowland|FALSE|700to900|DrainedArGr</t>
  </si>
  <si>
    <t>Wensum|Lowland|TRUE|700to900|DrainedArGr</t>
  </si>
  <si>
    <t>Mixed</t>
  </si>
  <si>
    <t>Wensum|Mixed|FALSE|600to700|FreeDrain</t>
  </si>
  <si>
    <t>Mixed|600to700</t>
  </si>
  <si>
    <t>Wensum|Mixed|TRUE|600to700|FreeDrain</t>
  </si>
  <si>
    <t>Wensum|Mixed|FALSE|600to700|DrainedAr</t>
  </si>
  <si>
    <t>Wensum|Mixed|TRUE|600to700|DrainedAr</t>
  </si>
  <si>
    <t>Wensum|Mixed|TRUE|600to700|DrainedArGr</t>
  </si>
  <si>
    <t>Wensum|Mixed|TRUE|700to900|FreeDrain</t>
  </si>
  <si>
    <t>Mixed|700to900</t>
  </si>
  <si>
    <t>Wensum|Mixed|FALSE|700to900|DrainedAr</t>
  </si>
  <si>
    <t>Wensum|Mixed|TRUE|700to900|DrainedAr</t>
  </si>
  <si>
    <t>Wensum|Mixed|FALSE|700to900|DrainedArGr</t>
  </si>
  <si>
    <t>Wensum|Mixed|TRUE|700to900|DrainedArGr</t>
  </si>
  <si>
    <t>Yare</t>
  </si>
  <si>
    <t>Yare|Cereals|FALSE|600to700|FreeDrain</t>
  </si>
  <si>
    <t>Yare|Cereals|TRUE|600to700|FreeDrain</t>
  </si>
  <si>
    <t>Yare|Cereals|FALSE|600to700|DrainedAr</t>
  </si>
  <si>
    <t>Yare|Cereals|TRUE|600to700|DrainedAr</t>
  </si>
  <si>
    <t>Yare|Cereals|FALSE|600to700|DrainedArGr</t>
  </si>
  <si>
    <t>Yare|Cereals|TRUE|600to700|DrainedArGr</t>
  </si>
  <si>
    <t>Yare|Cereals|TRUE|700to900|FreeDrain</t>
  </si>
  <si>
    <t>Yare|Cereals|TRUE|700to900|DrainedAr</t>
  </si>
  <si>
    <t>Yare|Cereals|TRUE|700to900|DrainedArGr</t>
  </si>
  <si>
    <t>Yare|General|FALSE|600to700|FreeDrain</t>
  </si>
  <si>
    <t>Yare|General|TRUE|600to700|FreeDrain</t>
  </si>
  <si>
    <t>Yare|General|FALSE|600to700|DrainedAr</t>
  </si>
  <si>
    <t>Yare|General|TRUE|600to700|DrainedAr</t>
  </si>
  <si>
    <t>Yare|General|FALSE|600to700|DrainedArGr</t>
  </si>
  <si>
    <t>Yare|General|TRUE|600to700|DrainedArGr</t>
  </si>
  <si>
    <t>Yare|General|TRUE|700to900|DrainedAr</t>
  </si>
  <si>
    <t>Yare|General|TRUE|700to900|DrainedArGr</t>
  </si>
  <si>
    <t>Yare|Horticulture|TRUE|600to700|FreeDrain</t>
  </si>
  <si>
    <t>Yare|Horticulture|TRUE|600to700|DrainedAr</t>
  </si>
  <si>
    <t>Yare|Horticulture|FALSE|600to700|DrainedArGr</t>
  </si>
  <si>
    <t>Yare|Horticulture|TRUE|600to700|DrainedArGr</t>
  </si>
  <si>
    <t>Yare|Horticulture|TRUE|700to900|DrainedAr</t>
  </si>
  <si>
    <t>Yare|Pig|TRUE|600to700|FreeDrain</t>
  </si>
  <si>
    <t>Yare|Pig|FALSE|600to700|DrainedAr</t>
  </si>
  <si>
    <t>Yare|Pig|TRUE|600to700|DrainedAr</t>
  </si>
  <si>
    <t>Yare|Pig|FALSE|600to700|DrainedArGr</t>
  </si>
  <si>
    <t>Yare|Pig|TRUE|600to700|DrainedArGr</t>
  </si>
  <si>
    <t>Yare|Pig|TRUE|700to900|DrainedArGr</t>
  </si>
  <si>
    <t>Yare|Poultry|TRUE|600to700|FreeDrain</t>
  </si>
  <si>
    <t>Yare|Poultry|FALSE|600to700|DrainedAr</t>
  </si>
  <si>
    <t>Yare|Poultry|TRUE|600to700|DrainedAr</t>
  </si>
  <si>
    <t>Yare|Poultry|FALSE|600to700|DrainedArGr</t>
  </si>
  <si>
    <t>Yare|Poultry|TRUE|600to700|DrainedArGr</t>
  </si>
  <si>
    <t>Yare|Poultry|TRUE|700to900|DrainedArGr</t>
  </si>
  <si>
    <t>Yare|Dairy|TRUE|600to700|DrainedAr</t>
  </si>
  <si>
    <t>Yare|Dairy|FALSE|600to700|DrainedArGr</t>
  </si>
  <si>
    <t>Yare|Dairy|TRUE|600to700|DrainedArGr</t>
  </si>
  <si>
    <t>Yare|Lowland|TRUE|600to700|FreeDrain</t>
  </si>
  <si>
    <t>Yare|Lowland|FALSE|600to700|DrainedAr</t>
  </si>
  <si>
    <t>Yare|Lowland|TRUE|600to700|DrainedAr</t>
  </si>
  <si>
    <t>Yare|Lowland|FALSE|600to700|DrainedArGr</t>
  </si>
  <si>
    <t>Yare|Lowland|TRUE|600to700|DrainedArGr</t>
  </si>
  <si>
    <t>Yare|Lowland|TRUE|700to900|DrainedAr</t>
  </si>
  <si>
    <t>Yare|Lowland|TRUE|700to900|DrainedArGr</t>
  </si>
  <si>
    <t>Yare|Mixed|TRUE|600to700|FreeDrain</t>
  </si>
  <si>
    <t>Yare|Mixed|FALSE|600to700|DrainedAr</t>
  </si>
  <si>
    <t>Yare|Mixed|TRUE|600to700|DrainedAr</t>
  </si>
  <si>
    <t>Yare|Mixed|FALSE|600to700|DrainedArGr</t>
  </si>
  <si>
    <t>Yare|Mixed|TRUE|600to700|DrainedArGr</t>
  </si>
  <si>
    <t>Yare|Mixed|TRUE|700to900|DrainedAr</t>
  </si>
  <si>
    <t>Bure</t>
  </si>
  <si>
    <t>Bure|Cereals|FALSE|600to700|FreeDrain</t>
  </si>
  <si>
    <t>Bure|Cereals|TRUE|600to700|FreeDrain</t>
  </si>
  <si>
    <t>Bure|Cereals|FALSE|600to700|DrainedAr</t>
  </si>
  <si>
    <t>Bure|Cereals|TRUE|600to700|DrainedAr</t>
  </si>
  <si>
    <t>Bure|Cereals|TRUE|700to900|FreeDrain</t>
  </si>
  <si>
    <t>Bure|Cereals|TRUE|700to900|DrainedAr</t>
  </si>
  <si>
    <t>Bure|Cereals|TRUE|700to900|DrainedArGr</t>
  </si>
  <si>
    <t>Over1500</t>
  </si>
  <si>
    <t>Bure|Cereals|TRUE|Over1500|FreeDrain</t>
  </si>
  <si>
    <t>Cereals|Over1500</t>
  </si>
  <si>
    <t>Bure|General|FALSE|600to700|FreeDrain</t>
  </si>
  <si>
    <t>Bure|General|TRUE|600to700|FreeDrain</t>
  </si>
  <si>
    <t>Bure|General|FALSE|600to700|DrainedAr</t>
  </si>
  <si>
    <t>Bure|General|TRUE|600to700|DrainedAr</t>
  </si>
  <si>
    <t>Bure|General|TRUE|700to900|FreeDrain</t>
  </si>
  <si>
    <t>Bure|General|TRUE|700to900|DrainedAr</t>
  </si>
  <si>
    <t>Bure|General|TRUE|700to900|DrainedArGr</t>
  </si>
  <si>
    <t>Bure|General|TRUE|Over1500|FreeDrain</t>
  </si>
  <si>
    <t>General|Over1500</t>
  </si>
  <si>
    <t>Bure|Horticulture|FALSE|600to700|FreeDrain</t>
  </si>
  <si>
    <t>Bure|Horticulture|TRUE|600to700|FreeDrain</t>
  </si>
  <si>
    <t>Bure|Horticulture|FALSE|600to700|DrainedAr</t>
  </si>
  <si>
    <t>Bure|Horticulture|TRUE|600to700|DrainedAr</t>
  </si>
  <si>
    <t>Bure|Horticulture|TRUE|700to900|FreeDrain</t>
  </si>
  <si>
    <t>Bure|Horticulture|TRUE|700to900|DrainedArGr</t>
  </si>
  <si>
    <t>Bure|Pig|FALSE|600to700|FreeDrain</t>
  </si>
  <si>
    <t>Bure|Pig|TRUE|600to700|FreeDrain</t>
  </si>
  <si>
    <t>Bure|Pig|TRUE|600to700|DrainedAr</t>
  </si>
  <si>
    <t>Bure|Pig|TRUE|700to900|FreeDrain</t>
  </si>
  <si>
    <t>Bure|Poultry|FALSE|600to700|FreeDrain</t>
  </si>
  <si>
    <t>Bure|Poultry|TRUE|600to700|FreeDrain</t>
  </si>
  <si>
    <t>Bure|Poultry|FALSE|600to700|DrainedAr</t>
  </si>
  <si>
    <t>Bure|Poultry|TRUE|600to700|DrainedAr</t>
  </si>
  <si>
    <t>Bure|Poultry|TRUE|700to900|FreeDrain</t>
  </si>
  <si>
    <t>Bure|Poultry|TRUE|700to900|DrainedAr</t>
  </si>
  <si>
    <t>Bure|Lowland|FALSE|600to700|FreeDrain</t>
  </si>
  <si>
    <t>Bure|Lowland|TRUE|600to700|FreeDrain</t>
  </si>
  <si>
    <t>Bure|Lowland|FALSE|600to700|DrainedAr</t>
  </si>
  <si>
    <t>Bure|Lowland|TRUE|600to700|DrainedAr</t>
  </si>
  <si>
    <t>Bure|Lowland|TRUE|700to900|FreeDrain</t>
  </si>
  <si>
    <t>Bure|Lowland|TRUE|700to900|DrainedAr</t>
  </si>
  <si>
    <t>Bure|Lowland|TRUE|700to900|DrainedArGr</t>
  </si>
  <si>
    <t>Bure|Lowland|TRUE|Over1500|DrainedAr</t>
  </si>
  <si>
    <t>Lowland|Over1500</t>
  </si>
  <si>
    <t>Bure|Mixed|FALSE|600to700|FreeDrain</t>
  </si>
  <si>
    <t>Bure|Mixed|TRUE|600to700|FreeDrain</t>
  </si>
  <si>
    <t>Bure|Mixed|FALSE|600to700|DrainedAr</t>
  </si>
  <si>
    <t>Bure|Mixed|TRUE|600to700|DrainedAr</t>
  </si>
  <si>
    <t>Bure|Mixed|TRUE|700to900|FreeDrain</t>
  </si>
  <si>
    <t>Bure|Mixed|TRUE|700to900|DrainedAr</t>
  </si>
  <si>
    <t>3008_Broadland</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</si>
  <si>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</si>
  <si>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</si>
  <si>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</si>
  <si>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</si>
  <si>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</si>
  <si>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</si>
  <si>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</si>
  <si>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</si>
  <si>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</si>
  <si>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</si>
  <si>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</si>
  <si>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</si>
  <si>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Cereals|TRUE|Over1500|FreeDrain</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</si>
  <si>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</si>
  <si>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</si>
  <si>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</si>
  <si>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</si>
  <si>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</si>
  <si>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</si>
  <si>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</si>
  <si>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</si>
  <si>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</si>
  <si>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</si>
  <si>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</si>
  <si>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</si>
  <si>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General|TRUE|Over1500|FreeDrain</t>
  </si>
  <si>
    <t>Horticulture|FALSE|600to700|FreeDrain</t>
  </si>
  <si>
    <t>Horticulture|TRUE|600to700|FreeDrain</t>
  </si>
  <si>
    <t>Horticulture|FALSE|600to700|DrainedAr</t>
  </si>
  <si>
    <t>Horticulture|TRUE|600to700|DrainedAr</t>
  </si>
  <si>
    <t>Horticulture|FALSE|600to700|DrainedArGr</t>
  </si>
  <si>
    <t>Horticulture|TRUE|600to700|DrainedArGr</t>
  </si>
  <si>
    <t>Horticulture|TRUE|700to900|FreeDrain</t>
  </si>
  <si>
    <t>Horticulture|FALSE|700to900|DrainedAr</t>
  </si>
  <si>
    <t>Horticulture|TRUE|700to900|DrainedAr</t>
  </si>
  <si>
    <t>Horticulture|FALSE|700to900|DrainedArGr</t>
  </si>
  <si>
    <t>Horticulture|TRUE|700to900|DrainedArGr</t>
  </si>
  <si>
    <t>Pig|FALSE|600to700|FreeDrain</t>
  </si>
  <si>
    <t>Pig|TRUE|600to700|FreeDrain</t>
  </si>
  <si>
    <t>Pig|FALSE|600to700|DrainedAr</t>
  </si>
  <si>
    <t>Pig|TRUE|600to700|DrainedAr</t>
  </si>
  <si>
    <t>Pig|FALSE|600to700|DrainedArGr</t>
  </si>
  <si>
    <t>Pig|TRUE|600to700|DrainedArGr</t>
  </si>
  <si>
    <t>Pig|TRUE|700to900|FreeDrain</t>
  </si>
  <si>
    <t>Pig|FALSE|700to900|DrainedAr</t>
  </si>
  <si>
    <t>Pig|TRUE|700to900|DrainedAr</t>
  </si>
  <si>
    <t>Pig|FALSE|700to900|DrainedArGr</t>
  </si>
  <si>
    <t>Pig|TRUE|700to900|DrainedArGr</t>
  </si>
  <si>
    <t>Poultry|FALSE|600to700|FreeDrain</t>
  </si>
  <si>
    <t>Poultry|TRUE|600to700|FreeDrain</t>
  </si>
  <si>
    <t>Poultry|FALSE|600to700|DrainedAr</t>
  </si>
  <si>
    <t>Poultry|TRUE|600to700|DrainedAr</t>
  </si>
  <si>
    <t>Poultry|FALSE|600to700|DrainedArGr</t>
  </si>
  <si>
    <t>Poultry|TRUE|600to700|DrainedArGr</t>
  </si>
  <si>
    <t>Poultry|TRUE|700to900|FreeDrain</t>
  </si>
  <si>
    <t>Poultry|FALSE|700to900|DrainedAr</t>
  </si>
  <si>
    <t>Poultry|TRUE|700to900|DrainedAr</t>
  </si>
  <si>
    <t>Poultry|FALSE|700to900|DrainedArGr</t>
  </si>
  <si>
    <t>Poultry|TRUE|700to900|DrainedArGr</t>
  </si>
  <si>
    <t>Dairy|TRUE|600to700|FreeDrain</t>
  </si>
  <si>
    <t>Dairy|FALSE|600to700|DrainedAr</t>
  </si>
  <si>
    <t>Dairy|TRUE|600to700|DrainedAr</t>
  </si>
  <si>
    <t>Dairy|FALSE|600to700|DrainedArGr</t>
  </si>
  <si>
    <t>Dairy|TRUE|600to700|DrainedArGr</t>
  </si>
  <si>
    <t>Dairy|TRUE|700to900|DrainedArGr</t>
  </si>
  <si>
    <t>Lowland|FALSE|600to700|FreeDrain</t>
  </si>
  <si>
    <t>Lowland|TRUE|600to700|FreeDrain</t>
  </si>
  <si>
    <t>Lowland|FALSE|600to700|DrainedAr</t>
  </si>
  <si>
    <t>Lowland|TRUE|600to700|DrainedAr</t>
  </si>
  <si>
    <t>Lowland|FALSE|600to700|DrainedArGr</t>
  </si>
  <si>
    <t>Lowland|TRUE|600to700|DrainedArGr</t>
  </si>
  <si>
    <t>Lowland|TRUE|700to900|FreeDrain</t>
  </si>
  <si>
    <t>Lowland|FALSE|700to900|DrainedAr</t>
  </si>
  <si>
    <t>Lowland|TRUE|700to900|DrainedAr</t>
  </si>
  <si>
    <t>Lowland|FALSE|700to900|DrainedArGr</t>
  </si>
  <si>
    <t>Lowland|TRUE|700to900|DrainedArGr</t>
  </si>
  <si>
    <t>Lowland|TRUE|Over1500|DrainedAr</t>
  </si>
  <si>
    <t>Mixed|FALSE|600to700|FreeDrain</t>
  </si>
  <si>
    <t>Mixed|TRUE|600to700|FreeDrain</t>
  </si>
  <si>
    <t>Mixed|FALSE|600to700|DrainedAr</t>
  </si>
  <si>
    <t>Mixed|TRUE|600to700|DrainedAr</t>
  </si>
  <si>
    <t>Mixed|FALSE|600to700|DrainedArGr</t>
  </si>
  <si>
    <t>Mixed|TRUE|600to700|DrainedArGr</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</si>
  <si>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</si>
  <si>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</si>
  <si>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</si>
  <si>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</si>
  <si>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</si>
  <si>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</si>
  <si>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</si>
  <si>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</si>
  <si>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</si>
  <si>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</si>
  <si>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</si>
  <si>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</si>
  <si>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</si>
  <si>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</si>
  <si>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</si>
  <si>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</si>
  <si>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</si>
  <si>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</si>
  <si>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</si>
  <si>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</si>
  <si>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</si>
  <si>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</si>
  <si>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</si>
  <si>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</si>
  <si>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</si>
  <si>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</si>
  <si>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</si>
  <si>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</si>
  <si>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</si>
  <si>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</si>
  <si>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</si>
  <si>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</si>
  <si>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</si>
  <si>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</si>
  <si>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</si>
  <si>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</si>
  <si>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</si>
  <si>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</si>
  <si>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</si>
  <si>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</si>
  <si>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</si>
  <si>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</si>
  <si>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</si>
  <si>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</si>
  <si>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</si>
  <si>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</si>
  <si>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</si>
  <si>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</si>
  <si>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</si>
  <si>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</si>
  <si>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</si>
  <si>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</si>
  <si>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</si>
  <si>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</si>
  <si>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</si>
  <si>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</si>
  <si>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</si>
  <si>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</si>
  <si>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</si>
  <si>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</si>
  <si>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</si>
  <si>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</si>
  <si>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</si>
  <si>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</si>
  <si>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</si>
  <si>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</si>
  <si>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</si>
  <si>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</si>
  <si>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</si>
  <si>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</si>
  <si>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</si>
  <si>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</si>
  <si>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</si>
  <si>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</si>
  <si>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</si>
  <si>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The Broads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</si>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</sst>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u/>
      <sz val="12"/>
      <color theme="10"/>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1" fillId="0" borderId="0" applyNumberFormat="0" applyFill="0" applyBorder="0" applyAlignment="0" applyProtection="0"/>
    <xf numFmtId="0" fontId="14" fillId="0" borderId="3" applyNumberFormat="0" applyFill="0" applyBorder="0" applyAlignment="0" applyProtection="0"/>
    <xf numFmtId="0" fontId="15" fillId="0" borderId="7" applyNumberFormat="0" applyFill="0" applyBorder="0" applyAlignment="0" applyProtection="0"/>
  </cellStyleXfs>
  <cellXfs count="127">
    <xf numFmtId="0" fontId="0" fillId="0" borderId="0" xfId="0"/>
    <xf numFmtId="0" fontId="12" fillId="3" borderId="0" xfId="0" applyFont="1" applyFill="1" applyAlignment="1" applyProtection="1">
      <alignment horizontal="left" vertical="center" wrapText="1"/>
      <protection locked="0"/>
    </xf>
    <xf numFmtId="0" fontId="9" fillId="0" borderId="0" xfId="0" applyFont="1" applyAlignment="1">
      <alignment horizontal="left" vertical="center" wrapText="1"/>
    </xf>
    <xf numFmtId="0" fontId="12" fillId="0" borderId="0" xfId="0" applyFont="1" applyAlignment="1">
      <alignment horizontal="left" vertical="center" wrapText="1"/>
    </xf>
    <xf numFmtId="0" fontId="9" fillId="3" borderId="8" xfId="0" applyFont="1" applyFill="1" applyBorder="1" applyAlignment="1" applyProtection="1">
      <alignment horizontal="left" vertical="center" wrapText="1"/>
      <protection locked="0"/>
    </xf>
    <xf numFmtId="2" fontId="9" fillId="2" borderId="1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8" xfId="0" applyFont="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7" fillId="4" borderId="0" xfId="0" applyFont="1" applyFill="1" applyAlignment="1">
      <alignment horizontal="left" vertical="center" wrapText="1"/>
    </xf>
    <xf numFmtId="0" fontId="15" fillId="0" borderId="0" xfId="3" applyBorder="1" applyAlignment="1" applyProtection="1">
      <alignment horizontal="left" vertical="center" wrapText="1"/>
    </xf>
    <xf numFmtId="0" fontId="14" fillId="0" borderId="0" xfId="2" applyBorder="1" applyAlignment="1" applyProtection="1">
      <alignment horizontal="left" vertical="center"/>
    </xf>
    <xf numFmtId="0" fontId="10" fillId="4" borderId="2" xfId="0" applyFont="1" applyFill="1" applyBorder="1" applyAlignment="1">
      <alignment horizontal="left" vertical="center" wrapText="1"/>
    </xf>
    <xf numFmtId="0" fontId="14" fillId="0" borderId="1" xfId="2" applyFill="1" applyBorder="1" applyAlignment="1" applyProtection="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4" fillId="0" borderId="0" xfId="0" applyFont="1" applyAlignment="1">
      <alignment horizontal="left" vertical="center" wrapText="1"/>
    </xf>
    <xf numFmtId="2" fontId="9" fillId="3" borderId="0" xfId="0" applyNumberFormat="1" applyFont="1" applyFill="1" applyAlignment="1" applyProtection="1">
      <alignment horizontal="left" vertical="center" wrapText="1"/>
      <protection locked="0"/>
    </xf>
    <xf numFmtId="2" fontId="9" fillId="3" borderId="2" xfId="0" applyNumberFormat="1" applyFont="1" applyFill="1" applyBorder="1" applyAlignment="1" applyProtection="1">
      <alignment horizontal="left" vertical="center" wrapText="1"/>
      <protection locked="0"/>
    </xf>
    <xf numFmtId="0" fontId="10" fillId="2" borderId="4" xfId="0" applyFont="1" applyFill="1" applyBorder="1" applyAlignment="1">
      <alignment horizontal="left" vertical="center" wrapText="1"/>
    </xf>
    <xf numFmtId="2" fontId="10" fillId="2" borderId="4" xfId="0" applyNumberFormat="1" applyFont="1" applyFill="1" applyBorder="1" applyAlignment="1">
      <alignment horizontal="left" vertical="center" wrapText="1"/>
    </xf>
    <xf numFmtId="0" fontId="10" fillId="0" borderId="0" xfId="0" applyFont="1" applyAlignment="1">
      <alignment horizontal="left" vertical="center" wrapText="1"/>
    </xf>
    <xf numFmtId="0" fontId="15" fillId="0" borderId="0" xfId="3" applyFill="1" applyBorder="1" applyAlignment="1" applyProtection="1">
      <alignment horizontal="left" vertical="center" wrapText="1"/>
    </xf>
    <xf numFmtId="2" fontId="9" fillId="0" borderId="0" xfId="0" applyNumberFormat="1" applyFont="1" applyAlignment="1">
      <alignment horizontal="left" vertical="center" wrapText="1"/>
    </xf>
    <xf numFmtId="0" fontId="9" fillId="2" borderId="15" xfId="0" applyFont="1" applyFill="1" applyBorder="1" applyAlignment="1">
      <alignment horizontal="left" vertical="center" wrapText="1"/>
    </xf>
    <xf numFmtId="0" fontId="3" fillId="0" borderId="0" xfId="0" applyFont="1" applyAlignment="1">
      <alignment horizontal="left" vertical="center" wrapText="1"/>
    </xf>
    <xf numFmtId="14" fontId="9" fillId="3" borderId="14" xfId="0" applyNumberFormat="1" applyFont="1" applyFill="1" applyBorder="1" applyAlignment="1" applyProtection="1">
      <alignment horizontal="left" vertical="center" wrapText="1"/>
      <protection locked="0"/>
    </xf>
    <xf numFmtId="2" fontId="9" fillId="3" borderId="14" xfId="0" applyNumberFormat="1"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10" fillId="5" borderId="1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9" fillId="0" borderId="0" xfId="0" applyFont="1" applyAlignment="1">
      <alignment horizontal="left" vertical="top" wrapText="1"/>
    </xf>
    <xf numFmtId="0" fontId="12" fillId="4" borderId="2" xfId="0" applyFont="1" applyFill="1" applyBorder="1" applyAlignment="1">
      <alignment horizontal="left" vertical="center" wrapText="1"/>
    </xf>
    <xf numFmtId="0" fontId="12" fillId="3" borderId="2" xfId="0" applyFont="1" applyFill="1" applyBorder="1" applyAlignment="1" applyProtection="1">
      <alignment horizontal="left" vertical="center" wrapText="1"/>
      <protection locked="0"/>
    </xf>
    <xf numFmtId="0" fontId="12" fillId="0" borderId="8" xfId="0" applyFont="1" applyBorder="1" applyAlignment="1">
      <alignment horizontal="left" vertical="center" wrapText="1"/>
    </xf>
    <xf numFmtId="0" fontId="17" fillId="0" borderId="0" xfId="0" applyFont="1" applyAlignment="1">
      <alignment horizontal="left" vertical="center" wrapText="1"/>
    </xf>
    <xf numFmtId="0" fontId="5" fillId="0" borderId="0" xfId="0" applyFont="1" applyAlignment="1">
      <alignment horizontal="left" wrapText="1"/>
    </xf>
    <xf numFmtId="0" fontId="16" fillId="0" borderId="0" xfId="0" applyFont="1" applyAlignment="1">
      <alignment horizontal="left" wrapText="1"/>
    </xf>
    <xf numFmtId="2" fontId="7" fillId="0" borderId="0" xfId="0" applyNumberFormat="1" applyFont="1" applyAlignment="1">
      <alignment horizontal="left" vertical="center" wrapText="1"/>
    </xf>
    <xf numFmtId="0" fontId="5" fillId="0" borderId="0" xfId="0" applyFont="1" applyAlignment="1">
      <alignment horizontal="left" vertical="center" wrapText="1"/>
    </xf>
    <xf numFmtId="2" fontId="7" fillId="0" borderId="2" xfId="0" applyNumberFormat="1" applyFont="1" applyBorder="1" applyAlignment="1">
      <alignment horizontal="left" vertical="center" wrapText="1"/>
    </xf>
    <xf numFmtId="0" fontId="7" fillId="0" borderId="0" xfId="0" applyFont="1" applyAlignment="1">
      <alignment horizontal="left" vertical="center" wrapText="1"/>
    </xf>
    <xf numFmtId="0" fontId="10" fillId="5" borderId="5" xfId="0" applyFont="1" applyFill="1" applyBorder="1" applyAlignment="1">
      <alignment horizontal="left" vertical="center" wrapText="1"/>
    </xf>
    <xf numFmtId="0" fontId="14" fillId="0" borderId="9" xfId="2" applyFill="1" applyBorder="1" applyAlignment="1" applyProtection="1">
      <alignment horizontal="left" vertical="center" wrapText="1"/>
    </xf>
    <xf numFmtId="14" fontId="9" fillId="3" borderId="2" xfId="0" applyNumberFormat="1"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10" fillId="2" borderId="21" xfId="0" applyNumberFormat="1" applyFont="1" applyFill="1" applyBorder="1" applyAlignment="1">
      <alignment horizontal="left" vertical="center" wrapText="1"/>
    </xf>
    <xf numFmtId="2" fontId="10" fillId="2" borderId="22" xfId="0" applyNumberFormat="1" applyFont="1" applyFill="1" applyBorder="1" applyAlignment="1">
      <alignment horizontal="left" vertical="center" wrapText="1"/>
    </xf>
    <xf numFmtId="0" fontId="14" fillId="0" borderId="12" xfId="2" applyFill="1" applyBorder="1" applyAlignment="1" applyProtection="1">
      <alignment horizontal="left" vertical="center" wrapText="1"/>
    </xf>
    <xf numFmtId="0" fontId="17" fillId="0" borderId="12" xfId="0" applyFont="1" applyBorder="1" applyAlignment="1">
      <alignment horizontal="left" vertical="center" wrapText="1"/>
    </xf>
    <xf numFmtId="0" fontId="18" fillId="0" borderId="0" xfId="0" applyFont="1" applyAlignment="1">
      <alignment horizontal="left" vertical="center" wrapText="1"/>
    </xf>
    <xf numFmtId="0" fontId="7" fillId="4" borderId="8" xfId="0" applyFont="1" applyFill="1" applyBorder="1" applyAlignment="1">
      <alignment horizontal="left" vertical="center" wrapText="1"/>
    </xf>
    <xf numFmtId="2" fontId="7" fillId="2" borderId="14" xfId="0" applyNumberFormat="1"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2" fillId="0" borderId="5" xfId="0" applyFont="1" applyBorder="1" applyAlignment="1">
      <alignment horizontal="left" vertical="center" wrapText="1"/>
    </xf>
    <xf numFmtId="0" fontId="2" fillId="0" borderId="0" xfId="0" applyFont="1" applyAlignment="1">
      <alignment horizontal="left" vertical="center" wrapText="1"/>
    </xf>
    <xf numFmtId="0" fontId="10" fillId="4" borderId="11" xfId="0" applyFont="1" applyFill="1" applyBorder="1" applyAlignment="1">
      <alignment horizontal="left" vertical="center"/>
    </xf>
    <xf numFmtId="0" fontId="10" fillId="4" borderId="23" xfId="0" applyFont="1" applyFill="1" applyBorder="1" applyAlignment="1">
      <alignment horizontal="left" wrapText="1"/>
    </xf>
    <xf numFmtId="0" fontId="5" fillId="0" borderId="13" xfId="0" applyFont="1" applyBorder="1" applyAlignment="1">
      <alignment horizontal="left" vertical="center" wrapText="1"/>
    </xf>
    <xf numFmtId="0" fontId="10" fillId="4" borderId="23" xfId="0" applyFont="1" applyFill="1" applyBorder="1" applyAlignment="1">
      <alignment horizontal="left" vertical="center" wrapText="1"/>
    </xf>
    <xf numFmtId="2" fontId="10" fillId="2" borderId="14" xfId="0" applyNumberFormat="1" applyFont="1" applyFill="1" applyBorder="1" applyAlignment="1">
      <alignment horizontal="left" vertical="center" wrapText="1"/>
    </xf>
    <xf numFmtId="2" fontId="7" fillId="2" borderId="14" xfId="0" quotePrefix="1" applyNumberFormat="1" applyFont="1" applyFill="1" applyBorder="1" applyAlignment="1">
      <alignment horizontal="left" vertical="center" wrapText="1"/>
    </xf>
    <xf numFmtId="0" fontId="7" fillId="5" borderId="11" xfId="0" applyFont="1" applyFill="1" applyBorder="1" applyAlignment="1">
      <alignment horizontal="left" vertical="center"/>
    </xf>
    <xf numFmtId="0" fontId="7" fillId="5" borderId="10" xfId="0" applyFont="1" applyFill="1" applyBorder="1" applyAlignment="1">
      <alignment horizontal="left" vertical="center"/>
    </xf>
    <xf numFmtId="0" fontId="10" fillId="4" borderId="11" xfId="0" applyFont="1" applyFill="1" applyBorder="1" applyAlignment="1">
      <alignment horizontal="left" vertical="center" wrapText="1"/>
    </xf>
    <xf numFmtId="0" fontId="9" fillId="0" borderId="2" xfId="0" applyFont="1" applyBorder="1" applyAlignment="1">
      <alignment horizontal="left" vertical="center" wrapText="1"/>
    </xf>
    <xf numFmtId="0" fontId="13" fillId="0" borderId="2"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7" fillId="4" borderId="2" xfId="0" applyFont="1" applyFill="1" applyBorder="1" applyAlignment="1">
      <alignment horizontal="left" vertical="center" wrapText="1"/>
    </xf>
    <xf numFmtId="2" fontId="12" fillId="3" borderId="2" xfId="0" applyNumberFormat="1" applyFont="1" applyFill="1" applyBorder="1" applyAlignment="1" applyProtection="1">
      <alignment horizontal="left" vertical="center" wrapText="1"/>
      <protection locked="0"/>
    </xf>
    <xf numFmtId="2" fontId="10" fillId="0" borderId="0" xfId="0" applyNumberFormat="1" applyFont="1" applyAlignment="1">
      <alignment horizontal="left" vertical="center" wrapText="1"/>
    </xf>
    <xf numFmtId="2" fontId="7" fillId="4" borderId="0" xfId="0" applyNumberFormat="1" applyFont="1" applyFill="1" applyAlignment="1">
      <alignment horizontal="left" vertical="center" wrapText="1"/>
    </xf>
    <xf numFmtId="0" fontId="7" fillId="4" borderId="23"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0" borderId="17" xfId="0" applyFont="1" applyBorder="1" applyAlignment="1">
      <alignment horizontal="left" vertical="center" wrapText="1"/>
    </xf>
    <xf numFmtId="0" fontId="7" fillId="4" borderId="14" xfId="0" applyFont="1" applyFill="1" applyBorder="1" applyAlignment="1">
      <alignment horizontal="left" vertical="center" wrapText="1"/>
    </xf>
    <xf numFmtId="0" fontId="10" fillId="4" borderId="8" xfId="0" applyFont="1" applyFill="1" applyBorder="1" applyAlignment="1">
      <alignment horizontal="left" vertical="center"/>
    </xf>
    <xf numFmtId="0" fontId="10" fillId="4" borderId="17" xfId="0" applyFont="1" applyFill="1" applyBorder="1" applyAlignment="1">
      <alignment horizontal="left" vertical="center"/>
    </xf>
    <xf numFmtId="2" fontId="10" fillId="4" borderId="21" xfId="0" applyNumberFormat="1" applyFont="1" applyFill="1" applyBorder="1" applyAlignment="1">
      <alignment horizontal="left" vertical="center" wrapText="1"/>
    </xf>
    <xf numFmtId="2" fontId="10" fillId="2" borderId="2" xfId="0" applyNumberFormat="1" applyFont="1" applyFill="1" applyBorder="1" applyAlignment="1">
      <alignment horizontal="left" vertical="center" wrapText="1"/>
    </xf>
    <xf numFmtId="0" fontId="5" fillId="0" borderId="0" xfId="0" applyFont="1" applyAlignment="1">
      <alignment wrapText="1"/>
    </xf>
    <xf numFmtId="0" fontId="5" fillId="0" borderId="0" xfId="0" applyFont="1" applyAlignment="1" applyProtection="1">
      <alignment horizontal="left" vertical="center" wrapText="1"/>
      <protection hidden="1"/>
    </xf>
    <xf numFmtId="2" fontId="5" fillId="0" borderId="0" xfId="0" applyNumberFormat="1" applyFont="1" applyAlignment="1">
      <alignment horizontal="left" vertical="center" wrapText="1"/>
    </xf>
    <xf numFmtId="0" fontId="6" fillId="0" borderId="0" xfId="0" applyFont="1" applyAlignment="1">
      <alignment horizontal="left" vertical="center" wrapText="1"/>
    </xf>
    <xf numFmtId="2" fontId="6" fillId="0" borderId="0" xfId="0" applyNumberFormat="1" applyFont="1" applyAlignment="1">
      <alignment horizontal="left" vertical="center" wrapText="1"/>
    </xf>
    <xf numFmtId="2" fontId="4"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0" fontId="4" fillId="0" borderId="0" xfId="0" applyFont="1" applyAlignment="1">
      <alignment horizontal="left" vertical="top" wrapText="1"/>
    </xf>
    <xf numFmtId="0" fontId="19" fillId="0" borderId="0" xfId="0" applyFont="1" applyAlignment="1">
      <alignment vertical="center" wrapText="1"/>
    </xf>
    <xf numFmtId="2" fontId="9" fillId="0" borderId="17" xfId="0" applyNumberFormat="1" applyFont="1" applyBorder="1" applyAlignment="1" applyProtection="1">
      <alignment horizontal="left" vertical="center" wrapText="1"/>
      <protection locked="0"/>
    </xf>
    <xf numFmtId="0" fontId="15" fillId="0" borderId="17" xfId="3" applyFill="1" applyBorder="1" applyAlignment="1" applyProtection="1">
      <alignment horizontal="left" vertical="center" wrapText="1"/>
    </xf>
    <xf numFmtId="2" fontId="7" fillId="2" borderId="15" xfId="0" applyNumberFormat="1" applyFont="1" applyFill="1" applyBorder="1" applyAlignment="1">
      <alignment horizontal="left" vertical="center" wrapText="1"/>
    </xf>
    <xf numFmtId="2" fontId="0" fillId="0" borderId="0" xfId="0" applyNumberFormat="1" applyAlignment="1">
      <alignment horizontal="left" vertical="center" wrapText="1"/>
    </xf>
    <xf numFmtId="0" fontId="4" fillId="0" borderId="0" xfId="0" applyFont="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4" xfId="0" applyFont="1" applyBorder="1" applyAlignment="1" applyProtection="1">
      <alignment horizontal="left" wrapText="1"/>
      <protection locked="0"/>
    </xf>
    <xf numFmtId="0" fontId="9" fillId="0" borderId="24" xfId="0" applyFont="1" applyBorder="1" applyAlignment="1">
      <alignment horizontal="left" wrapText="1"/>
    </xf>
    <xf numFmtId="0" fontId="9" fillId="0" borderId="15" xfId="0" applyFont="1" applyBorder="1" applyAlignment="1">
      <alignment horizontal="left" wrapText="1"/>
    </xf>
    <xf numFmtId="0" fontId="9" fillId="0" borderId="6" xfId="0" applyFont="1" applyBorder="1" applyAlignment="1">
      <alignment horizontal="left" wrapText="1"/>
    </xf>
    <xf numFmtId="0" fontId="9" fillId="4" borderId="2" xfId="0" applyFont="1" applyFill="1" applyBorder="1" applyAlignment="1">
      <alignment horizontal="left" wrapText="1"/>
    </xf>
    <xf numFmtId="0" fontId="15" fillId="0" borderId="17" xfId="3" applyBorder="1" applyAlignment="1" applyProtection="1">
      <alignment horizontal="left" vertical="center" wrapText="1"/>
    </xf>
    <xf numFmtId="0" fontId="20" fillId="0" borderId="0" xfId="1" applyFont="1" applyFill="1" applyAlignment="1" applyProtection="1">
      <alignment horizontal="left" vertical="center" wrapText="1"/>
    </xf>
    <xf numFmtId="0" fontId="12" fillId="0" borderId="0" xfId="0" applyFont="1" applyAlignment="1">
      <alignment horizontal="left" wrapText="1"/>
    </xf>
    <xf numFmtId="0" fontId="7" fillId="0" borderId="0" xfId="0" applyFont="1" applyAlignment="1">
      <alignment horizontal="left" wrapText="1"/>
    </xf>
    <xf numFmtId="0" fontId="12" fillId="0" borderId="0" xfId="0" applyFont="1" applyAlignment="1">
      <alignment horizontal="left" vertical="center"/>
    </xf>
    <xf numFmtId="0" fontId="12" fillId="4" borderId="0" xfId="0" applyFont="1" applyFill="1" applyAlignment="1">
      <alignment horizontal="left" vertical="center" wrapText="1"/>
    </xf>
    <xf numFmtId="0" fontId="10" fillId="4" borderId="10" xfId="1" applyFont="1" applyFill="1" applyBorder="1" applyAlignment="1" applyProtection="1">
      <alignment horizontal="left" vertical="center" wrapText="1"/>
    </xf>
    <xf numFmtId="0" fontId="13" fillId="0" borderId="14" xfId="1" applyFont="1" applyBorder="1" applyAlignment="1" applyProtection="1">
      <alignment horizontal="left" vertical="center" wrapText="1"/>
    </xf>
    <xf numFmtId="0" fontId="13" fillId="0" borderId="15" xfId="1" applyFont="1" applyBorder="1" applyAlignment="1" applyProtection="1">
      <alignment horizontal="left" vertical="center" wrapText="1"/>
    </xf>
    <xf numFmtId="0" fontId="15" fillId="0" borderId="0" xfId="3" applyFill="1" applyBorder="1" applyAlignment="1" applyProtection="1">
      <alignment horizontal="left" vertical="center"/>
    </xf>
    <xf numFmtId="0" fontId="5" fillId="0" borderId="0" xfId="0" applyFont="1"/>
    <xf numFmtId="0" fontId="5" fillId="0" borderId="0" xfId="0" applyFont="1" applyAlignment="1">
      <alignment horizontal="left" vertical="center"/>
    </xf>
    <xf numFmtId="2" fontId="5" fillId="0" borderId="0" xfId="0" applyNumberFormat="1"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14" fillId="0" borderId="0" xfId="2" applyFill="1" applyBorder="1" applyAlignment="1" applyProtection="1">
      <alignment horizontal="left" vertical="center"/>
    </xf>
    <xf numFmtId="0" fontId="19" fillId="0" borderId="0" xfId="0" applyFont="1" applyAlignment="1">
      <alignment vertical="center"/>
    </xf>
    <xf numFmtId="0" fontId="15" fillId="0" borderId="6" xfId="3" applyFill="1" applyBorder="1" applyAlignment="1" applyProtection="1">
      <alignment horizontal="left" vertical="center" wrapText="1"/>
    </xf>
    <xf numFmtId="0" fontId="15" fillId="2" borderId="19" xfId="3"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4">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bottom style="thin">
          <color indexed="64"/>
        </bottom>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bottom style="thin">
          <color auto="1"/>
        </bottom>
      </border>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font>
        <b/>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style="thin">
          <color indexed="64"/>
        </right>
        <top/>
        <bottom/>
      </border>
      <protection locked="1" hidden="0"/>
    </dxf>
    <dxf>
      <fill>
        <patternFill>
          <bgColor rgb="FFE2EFDA"/>
        </patternFill>
      </fill>
    </dxf>
    <dxf>
      <fill>
        <patternFill>
          <bgColor rgb="FFE2EFDA"/>
        </patternFill>
      </fill>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alignment horizontal="left" vertical="center" textRotation="0" indent="0" justifyLastLine="0" shrinkToFit="0" readingOrder="0"/>
    </dxf>
    <dxf>
      <font>
        <b/>
        <strike val="0"/>
        <outline val="0"/>
        <shadow val="0"/>
        <u val="none"/>
        <vertAlign val="baseline"/>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4" totalsRowShown="0" headerRowDxfId="123" dataDxfId="122">
  <autoFilter ref="A9:B14" xr:uid="{7EBF9311-A278-4083-BF4D-937B4AAC2ED7}">
    <filterColumn colId="0" hiddenButton="1"/>
    <filterColumn colId="1" hiddenButton="1"/>
  </autoFilter>
  <tableColumns count="2">
    <tableColumn id="1" xr3:uid="{EC08AA9D-D8AA-4D04-81C0-5F70E5CFF32B}" name="Topic of each table" dataDxfId="121"/>
    <tableColumn id="2" xr3:uid="{8626C486-F03D-46F8-B4FF-6F484971E7CB}" name="Link to each worksheet" dataDxfId="120"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495:A512" totalsRowShown="0" headerRowDxfId="52" dataDxfId="51">
  <autoFilter ref="A495:A512" xr:uid="{27E373C5-D0CE-42F2-9526-68F6C3493A4E}">
    <filterColumn colId="0" hiddenButton="1"/>
  </autoFilter>
  <tableColumns count="1">
    <tableColumn id="1" xr3:uid="{53B368C1-8BC9-40BE-BF12-2BD44CBABE8A}" name="All Possible Landcover Types" dataDxfId="50"/>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490:B492" totalsRowShown="0" headerRowDxfId="49" dataDxfId="48">
  <autoFilter ref="A490:B492" xr:uid="{92ED230A-D03F-4AFE-B6E2-A2C0CA247A6E}">
    <filterColumn colId="0" hiddenButton="1"/>
    <filterColumn colId="1" hiddenButton="1"/>
  </autoFilter>
  <tableColumns count="2">
    <tableColumn id="1" xr3:uid="{733091DA-D7C2-4BC5-B808-44E4059922C0}" name="NVZ" dataDxfId="47"/>
    <tableColumn id="2" xr3:uid="{F0C58FBC-95F8-49DE-8689-2F83AB0C11EB}" name="Farmscoper equivalent" dataDxfId="4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481:C487" totalsRowShown="0" headerRowDxfId="45" dataDxfId="44">
  <autoFilter ref="A481:C487" xr:uid="{1A6CB2E1-69B4-4AD4-994C-659133C27DDB}">
    <filterColumn colId="0" hiddenButton="1"/>
    <filterColumn colId="1" hiddenButton="1"/>
    <filterColumn colId="2" hiddenButton="1"/>
  </autoFilter>
  <tableColumns count="3">
    <tableColumn id="1" xr3:uid="{22766906-A0A6-4E97-AF30-1597153F0350}" name="Soilscape drainage term" dataDxfId="43"/>
    <tableColumn id="2" xr3:uid="{F002BB36-823A-4836-A21B-B579E90BABD3}" name="Farmscoper term" dataDxfId="42"/>
    <tableColumn id="3" xr3:uid="{9175DC56-F38C-4D28-A172-11226D1D23E9}" name="Definition" dataDxfId="41"/>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475:B478" totalsRowShown="0" headerRowDxfId="40" dataDxfId="39">
  <autoFilter ref="A475:B478" xr:uid="{91B3FB2B-EB57-4104-B68D-005ACE17DAAA}">
    <filterColumn colId="0" hiddenButton="1"/>
    <filterColumn colId="1" hiddenButton="1"/>
  </autoFilter>
  <tableColumns count="2">
    <tableColumn id="1" xr3:uid="{89EA0223-64FE-4218-878D-A564ADBADDD1}" name="Operational Catchment" dataDxfId="38"/>
    <tableColumn id="2" xr3:uid="{EFCB9C34-1A22-413A-B569-EB7D0539CE10}" name="Farmscoper equivalent" dataDxfId="37"/>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449:K472" totalsRowShown="0" headerRowDxfId="36" dataDxfId="35">
  <autoFilter ref="A449:K472"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4"/>
    <tableColumn id="2" xr3:uid="{6314E66D-7991-4DDA-9A1D-1FE2961CCE28}" name="Mid" dataDxfId="33"/>
    <tableColumn id="3" xr3:uid="{0B72D170-B3FB-410B-B94E-238D55DCBE68}" name="Farmscoper Equivalent" dataDxfId="32"/>
    <tableColumn id="4" xr3:uid="{0F992BC0-BDCD-49A0-800D-DE9390E83D4D}" name="P Urban Runoff Coefficient " dataDxfId="31"/>
    <tableColumn id="5" xr3:uid="{CC4E8ED1-10B1-497F-85BB-B21C5930A734}" name="N Urban Runoff Coefficient (kg/ha/yr)" dataDxfId="30"/>
    <tableColumn id="6" xr3:uid="{8AA02858-4B6E-42E1-8EB2-D3C4BAB72698}" name="Residential P export coefficient (kg/ha/yr)" dataDxfId="29"/>
    <tableColumn id="7" xr3:uid="{24BE5444-EEC8-44A1-8B49-79261DDC1D84}" name="Commercial / industrial P export coefficient (kg/ha/yr)" dataDxfId="28"/>
    <tableColumn id="8" xr3:uid="{3D907FB1-AFBD-4D65-A7C1-7FCBDBA7E010}" name="Open urban P export coefficient (kg/ha/yr)" dataDxfId="27"/>
    <tableColumn id="9" xr3:uid="{659D953B-CEE1-475B-B79F-09EDE2124F89}" name="Residential N export coefficient (kg/ha/yr)" dataDxfId="26"/>
    <tableColumn id="10" xr3:uid="{B077E248-9579-43F2-9FD4-BCCA722D6FC1}" name="Commercial / industrial N export coefficient (kg/ha/yr)" dataDxfId="25"/>
    <tableColumn id="11" xr3:uid="{106BF2CF-BA30-4A6D-AF89-E886BEBDE8D6}" name="Open urban N export coefficient (kg/ha/yr)" dataDxfId="24"/>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90:M446" totalsRowShown="0" headerRowDxfId="23" dataDxfId="22">
  <autoFilter ref="A90:M446"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1"/>
    <tableColumn id="2" xr3:uid="{B8D75754-E7F8-4B85-993C-7907E45F1CAE}" name="Farmscoper Farm Term" dataDxfId="20"/>
    <tableColumn id="3" xr3:uid="{EC77A0A4-C437-4818-A316-7C71A29A7121}" name="NVZ" dataDxfId="19"/>
    <tableColumn id="4" xr3:uid="{B98F73F4-9677-4844-877F-8A359508FB3B}" name="Climate" dataDxfId="18"/>
    <tableColumn id="5" xr3:uid="{7C621915-7D3D-4055-8347-C883D9EE99FE}" name="Farmscoper Soil Drainage Term" dataDxfId="17"/>
    <tableColumn id="6" xr3:uid="{4C66E893-8377-439B-93D4-1CE695F419C9}" name="Lookup" dataDxfId="16">
      <calculatedColumnFormula>"|"&amp;"|"&amp;"|"&amp;E91</calculatedColumnFormula>
    </tableColumn>
    <tableColumn id="7" xr3:uid="{CF6B9BF0-3AFB-4049-8321-66DDFD8F9508}" name="Phosphorus export coefficient" dataDxfId="15"/>
    <tableColumn id="8" xr3:uid="{EBD2571A-6A4E-4448-BEB2-CCC5A7E48254}" name="Nitrogen export coefficient" dataDxfId="14"/>
    <tableColumn id="9" xr3:uid="{96CC571C-13E4-474B-8016-76B1B26E6BAE}" name="Farm Lookup" dataDxfId="13"/>
    <tableColumn id="10" xr3:uid="{511A3753-F9BA-45C6-B34A-6CC17D10251D}" name="Mean P export of farm type and climate combination" dataDxfId="12"/>
    <tableColumn id="11" xr3:uid="{A4A4CA5F-B40A-4D96-B1F7-2F58E7D4D811}" name="Mean N export of farm type and climate combination" dataDxfId="11"/>
    <tableColumn id="12" xr3:uid="{6A6F3AA5-4A40-440E-9BBC-E26F5AF39750}" name="Mean P export of farm type" dataDxfId="10"/>
    <tableColumn id="13" xr3:uid="{EF05C3C7-DB49-4B8E-8C81-E6CFAC3E3633}" name="Mean N export of farm type" dataDxfId="9"/>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87" totalsRowShown="0" headerRowDxfId="8" dataDxfId="7">
  <autoFilter ref="A4:G87"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6"/>
    <tableColumn id="2" xr3:uid="{1CC474C8-63E1-4F68-A098-5E908E40DA49}" name="Phosphorus, Total as P (mg/l)" dataDxfId="5"/>
    <tableColumn id="3" xr3:uid="{2E3488FB-E48E-4A15-AFE7-EF2D95C19F27}" name="Nitrogen, Total as N (mg/l)" dataDxfId="4"/>
    <tableColumn id="4" xr3:uid="{94BDE985-E688-430A-9815-4EDF1FE7157B}" name="Phosphorus, Total as P (mg/l), permit post 2025" dataDxfId="3"/>
    <tableColumn id="5" xr3:uid="{8BCC1398-9B1F-4574-ACC3-119FC5E35CA6}" name="Nitrogen, Total as N (mg/l), permit post 2025" dataDxfId="2"/>
    <tableColumn id="6" xr3:uid="{FB3CD2EC-3EEF-41C1-B41D-97FDFB83D5D0}" name="Phosphorus, Total as P (mg/l), permit post 2030" dataDxfId="1"/>
    <tableColumn id="7" xr3:uid="{9B3BFA6C-4F51-4202-90EE-5C006B8C8234}" name="Nitrogen, Total as N (mg/l), permit post 2030"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9" dataDxfId="118" headerRowBorderDxfId="116" tableBorderDxfId="117" totalsRowBorderDxfId="115">
  <autoFilter ref="A40:B44" xr:uid="{64981484-4795-461F-A3C7-626CD012A06C}">
    <filterColumn colId="0" hiddenButton="1"/>
    <filterColumn colId="1" hiddenButton="1"/>
  </autoFilter>
  <tableColumns count="2">
    <tableColumn id="1" xr3:uid="{7B0543B4-03E3-4FAF-BFF9-98B834A2A253}" name="Description of the information:" dataDxfId="114"/>
    <tableColumn id="2" xr3:uid="{5C5EB3D3-CF00-43BE-8853-5602F78856CB}" name="Link" dataDxfId="113"/>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10" dataDxfId="109" headerRowBorderDxfId="107" tableBorderDxfId="108" totalsRowBorderDxfId="106">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dataDxfId="104"/>
    <tableColumn id="4" xr3:uid="{20424A8D-23FA-4C1D-B394-6A4A0726E8D6}" name="Additional data entry column"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02" dataDxfId="101" headerRowBorderDxfId="99" tableBorderDxfId="100">
  <autoFilter ref="A17:B28"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5" dataDxfId="94" headerRowBorderDxfId="92" tableBorderDxfId="93" totalsRowBorderDxfId="91">
  <autoFilter ref="A4:B8" xr:uid="{E51AE02F-7B0C-4640-BEBD-8FD46432F29C}">
    <filterColumn colId="0" hiddenButton="1"/>
    <filterColumn colId="1" hiddenButton="1"/>
  </autoFilter>
  <tableColumns count="2">
    <tableColumn id="1" xr3:uid="{C513A266-837A-4378-8552-D156135B549F}" name="Description of required information" dataDxfId="90"/>
    <tableColumn id="2" xr3:uid="{9FEADC6D-D9F7-40A8-AB95-390DAB627A00}" name="Data entry Column" dataDxfId="89"/>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88" dataDxfId="87" headerRowBorderDxfId="85" tableBorderDxfId="86" totalsRowBorderDxfId="84">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dataDxfId="83"/>
    <tableColumn id="2" xr3:uid="{DA6AF240-7DDF-40CC-B3C9-0A6C10900A68}" name="Area (ha)" dataDxfId="82"/>
    <tableColumn id="3" xr3:uid="{6E639853-0D25-4A34-A943-04CF61F257AF}" name="Annual phosphorus nutrient export  _x000a_(kg TP/yr)" dataDxfId="81"/>
    <tableColumn id="4" xr3:uid="{D46D9DE3-2913-45A9-81EF-5C0B16A60B70}" name="Annual nitrogen nutrient export  _x000a_(kg TN/yr)" dataDxfId="80"/>
    <tableColumn id="5" xr3:uid="{B35F3CE8-F7D9-4526-B8D6-064B09EE0E77}" name="Notes on data"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78" dataDxfId="77">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dataDxfId="76"/>
    <tableColumn id="2" xr3:uid="{2BF0443C-5885-452F-9860-409F1647E1C1}" name="Area (ha)" dataDxfId="75"/>
    <tableColumn id="3" xr3:uid="{25FC9D0F-4B95-491D-B24D-E74B3A1DBC98}" name="Annual phosphorus nutrient export _x000a_(kg TP/yr)" dataDxfId="74"/>
    <tableColumn id="4" xr3:uid="{D4EA72A6-0C9C-4A1E-8AAC-10EB38F195A8}" name="Annual nitrogen nutrient export_x000a_(kg TN/yr)" dataDxfId="73"/>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K29" totalsRowShown="0" headerRowDxfId="72" dataDxfId="71">
  <autoFilter ref="A3:K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dataDxfId="70"/>
    <tableColumn id="2" xr3:uid="{72D29FD7-7898-4191-A97D-55B2AC2A6039}" name="SuDS catchment area (ha)" dataDxfId="69"/>
    <tableColumn id="10" xr3:uid="{C118AB6C-A0C7-46A0-B4D4-823E8172F281}" name="Percentage of flow entering the SuDS (%)" dataDxfId="68"/>
    <tableColumn id="3" xr3:uid="{ED81FC8E-03C3-4BFE-9F76-89B40F31A34D}" name="Annual phosphorus inputs to SuDS feature(s)_x000a_(kg TP/yr)" dataDxfId="67">
      <calculatedColumnFormula>IFERROR(IF(ISBLANK(A4),"",IF(ISBLANK(B4),"",VLOOKUP(A4,Nutrients_from_future_land_use!$A$5:$D$21,3,FALSE)*(100*B4/VLOOKUP(A4,Nutrients_from_future_land_use!$A$5:$D$21,2,FALSE)))),"")</calculatedColumnFormula>
    </tableColumn>
    <tableColumn id="4" xr3:uid="{C9DF269B-9235-47CA-9628-CA0EAEA7E887}" name="Annual nitrogen inputs to SuDS feature(s)_x000a_(kg TN/yr)" dataDxfId="66">
      <calculatedColumnFormula>IFERROR(IF(ISBLANK(A4),"",IF(ISBLANK(B4),"",VLOOKUP(A4,Nutrients_from_future_land_use!$A$5:$D$21,4,FALSE)*(B4/VLOOKUP(A4,Nutrients_from_future_land_use!$A$5:$D$21,2,FALSE)))),"")</calculatedColumnFormula>
    </tableColumn>
    <tableColumn id="5" xr3:uid="{95439CAD-05D0-4028-94D4-451B848D06FE}" name="Name of SuDS feature(s)" dataDxfId="65"/>
    <tableColumn id="7" xr3:uid="{C0ABEF49-1594-4E02-BF91-3B0541CD3C39}" name="TP removal rate for features - user specified (%)" dataDxfId="64"/>
    <tableColumn id="8" xr3:uid="{6CE040BE-33E5-44DA-B389-E1BC789E21E5}" name="TN removal rate for features - user specified (%)" dataDxfId="63">
      <calculatedColumnFormula>IF(OR(#REF!="No",ISBLANK(#REF!)),"",IF(#REF!="Yes","","TN removal rate - user specified (%)"))</calculatedColumnFormula>
    </tableColumn>
    <tableColumn id="13" xr3:uid="{AD318CD3-7F23-4854-891B-91CB70148FB9}" name="Annual phosphorus load removed by SuDS_x000a_(kg TP/yr)" dataDxfId="62"/>
    <tableColumn id="14" xr3:uid="{1156F97A-C06E-4041-A8E9-274F94CC02BE}" name="Annual nitrogen load removed by SuDS_x000a_(kg TP/yr)" dataDxfId="61"/>
    <tableColumn id="6" xr3:uid="{E06A970A-6835-4E49-9119-FEAF7BC8D4A0}" name="Notes on data" dataDxfId="60">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59" dataDxfId="58" headerRowBorderDxfId="56" tableBorderDxfId="57" totalsRowBorderDxfId="55">
  <autoFilter ref="A4:B21" xr:uid="{A0BD0106-977A-4B15-9C53-C66CDF6772BD}">
    <filterColumn colId="0" hiddenButton="1"/>
    <filterColumn colId="1" hiddenButton="1"/>
  </autoFilter>
  <tableColumns count="2">
    <tableColumn id="1" xr3:uid="{31004191-352C-44A7-A242-30E88F4CD5ED}" name="Description of values generated" dataDxfId="54"/>
    <tableColumn id="2" xr3:uid="{C357CE45-1FD7-4EF9-804B-579D3A1CC1A7}" name="Values generated" dataDxfId="53"/>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3400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5546875" defaultRowHeight="15"/>
  <cols>
    <col min="1" max="1" width="135" style="3" customWidth="1"/>
    <col min="2" max="2" width="44.85546875" style="3" customWidth="1"/>
    <col min="3" max="207" width="8.5703125" style="3" customWidth="1"/>
    <col min="208" max="16384" width="8.85546875" style="3"/>
  </cols>
  <sheetData>
    <row r="1" spans="1:2" ht="49.5" customHeight="1">
      <c r="A1" s="12" t="s">
        <v>0</v>
      </c>
    </row>
    <row r="2" spans="1:2" ht="26.25" customHeight="1">
      <c r="A2" s="2" t="s">
        <v>1</v>
      </c>
    </row>
    <row r="3" spans="1:2" ht="30.75" customHeight="1">
      <c r="A3" s="2" t="s">
        <v>2</v>
      </c>
    </row>
    <row r="4" spans="1:2" ht="26.25" customHeight="1">
      <c r="A4" s="2" t="s">
        <v>3</v>
      </c>
    </row>
    <row r="5" spans="1:2" ht="26.25" customHeight="1">
      <c r="A5" s="3" t="s">
        <v>4</v>
      </c>
    </row>
    <row r="6" spans="1:2" ht="36" customHeight="1">
      <c r="A6" s="3" t="s">
        <v>5</v>
      </c>
    </row>
    <row r="7" spans="1:2" ht="36" customHeight="1">
      <c r="A7" s="3" t="s">
        <v>6</v>
      </c>
    </row>
    <row r="8" spans="1:2" ht="37.5" customHeight="1">
      <c r="A8" s="11" t="s">
        <v>7</v>
      </c>
    </row>
    <row r="9" spans="1:2" ht="15.75">
      <c r="A9" s="13" t="s">
        <v>8</v>
      </c>
      <c r="B9" s="13" t="s">
        <v>9</v>
      </c>
    </row>
    <row r="10" spans="1:2" ht="16.5" customHeight="1">
      <c r="A10" s="71" t="s">
        <v>10</v>
      </c>
      <c r="B10" s="72" t="s">
        <v>11</v>
      </c>
    </row>
    <row r="11" spans="1:2" ht="16.5" customHeight="1">
      <c r="A11" s="71" t="s">
        <v>12</v>
      </c>
      <c r="B11" s="72" t="s">
        <v>13</v>
      </c>
    </row>
    <row r="12" spans="1:2" ht="16.5" customHeight="1">
      <c r="A12" s="71" t="s">
        <v>14</v>
      </c>
      <c r="B12" s="72" t="s">
        <v>15</v>
      </c>
    </row>
    <row r="13" spans="1:2" ht="16.5" customHeight="1">
      <c r="A13" s="71" t="s">
        <v>16</v>
      </c>
      <c r="B13" s="72" t="s">
        <v>17</v>
      </c>
    </row>
    <row r="14" spans="1:2" ht="16.5" customHeight="1">
      <c r="A14" s="71" t="s">
        <v>18</v>
      </c>
      <c r="B14" s="72" t="s">
        <v>19</v>
      </c>
    </row>
    <row r="15" spans="1:2" ht="37.5" customHeight="1">
      <c r="A15" s="11" t="s">
        <v>20</v>
      </c>
      <c r="B15" s="73"/>
    </row>
    <row r="16" spans="1:2" ht="20.25" customHeight="1">
      <c r="A16" s="2" t="s">
        <v>21</v>
      </c>
    </row>
    <row r="17" spans="1:1" ht="36.75" customHeight="1">
      <c r="A17" s="2" t="s">
        <v>22</v>
      </c>
    </row>
    <row r="18" spans="1:1" ht="36.75" customHeight="1">
      <c r="A18" s="2" t="s">
        <v>23</v>
      </c>
    </row>
    <row r="19" spans="1:1" ht="63.6" customHeight="1">
      <c r="A19" s="2" t="s">
        <v>24</v>
      </c>
    </row>
    <row r="20" spans="1:1" ht="33" customHeight="1">
      <c r="A20" s="2" t="s">
        <v>25</v>
      </c>
    </row>
    <row r="21" spans="1:1" ht="18.75" customHeight="1">
      <c r="A21" s="3" t="s">
        <v>26</v>
      </c>
    </row>
    <row r="22" spans="1:1" ht="30">
      <c r="A22" s="2" t="s">
        <v>27</v>
      </c>
    </row>
    <row r="23" spans="1:1" ht="25.5" customHeight="1">
      <c r="A23" s="2" t="s">
        <v>28</v>
      </c>
    </row>
    <row r="24" spans="1:1" ht="36" customHeight="1">
      <c r="A24" s="2" t="s">
        <v>29</v>
      </c>
    </row>
    <row r="25" spans="1:1" ht="51" customHeight="1">
      <c r="A25" s="2" t="s">
        <v>30</v>
      </c>
    </row>
    <row r="26" spans="1:1" ht="34.5" customHeight="1">
      <c r="A26" s="2" t="s">
        <v>31</v>
      </c>
    </row>
    <row r="27" spans="1:1" ht="37.5" customHeight="1">
      <c r="A27" s="11" t="s">
        <v>32</v>
      </c>
    </row>
    <row r="28" spans="1:1" ht="20.25" customHeight="1">
      <c r="A28" s="3" t="s">
        <v>33</v>
      </c>
    </row>
    <row r="29" spans="1:1" ht="50.25" customHeight="1">
      <c r="A29" s="3" t="s">
        <v>34</v>
      </c>
    </row>
    <row r="30" spans="1:1" ht="51.75" customHeight="1">
      <c r="A30" s="3" t="s">
        <v>35</v>
      </c>
    </row>
    <row r="31" spans="1:1" ht="84.75" customHeight="1">
      <c r="A31" s="3" t="s">
        <v>36</v>
      </c>
    </row>
    <row r="32" spans="1:1" ht="79.5" customHeight="1">
      <c r="A32" s="3" t="s">
        <v>37</v>
      </c>
    </row>
    <row r="33" spans="1:2" ht="36" customHeight="1">
      <c r="A33" s="3" t="s">
        <v>38</v>
      </c>
    </row>
    <row r="34" spans="1:2" ht="66.75" customHeight="1">
      <c r="A34" s="3" t="s">
        <v>39</v>
      </c>
    </row>
    <row r="35" spans="1:2" ht="37.5" customHeight="1">
      <c r="A35" s="11" t="s">
        <v>40</v>
      </c>
    </row>
    <row r="36" spans="1:2" ht="79.5" customHeight="1">
      <c r="A36" s="3" t="s">
        <v>41</v>
      </c>
    </row>
    <row r="37" spans="1:2" ht="62.25" customHeight="1">
      <c r="A37" s="3" t="s">
        <v>42</v>
      </c>
    </row>
    <row r="38" spans="1:2" ht="24" customHeight="1">
      <c r="A38" s="3" t="s">
        <v>43</v>
      </c>
    </row>
    <row r="39" spans="1:2" ht="37.5" customHeight="1">
      <c r="A39" s="11" t="s">
        <v>44</v>
      </c>
    </row>
    <row r="40" spans="1:2" ht="15.75">
      <c r="A40" s="70" t="s">
        <v>45</v>
      </c>
      <c r="B40" s="114" t="s">
        <v>46</v>
      </c>
    </row>
    <row r="41" spans="1:2" ht="31.5" customHeight="1">
      <c r="A41" s="36" t="s">
        <v>47</v>
      </c>
      <c r="B41" s="115" t="s">
        <v>48</v>
      </c>
    </row>
    <row r="42" spans="1:2" ht="19.5" customHeight="1">
      <c r="A42" s="36" t="s">
        <v>49</v>
      </c>
      <c r="B42" s="115" t="s">
        <v>50</v>
      </c>
    </row>
    <row r="43" spans="1:2" ht="35.25" customHeight="1">
      <c r="A43" s="36" t="s">
        <v>51</v>
      </c>
      <c r="B43" s="115" t="s">
        <v>52</v>
      </c>
    </row>
    <row r="44" spans="1:2" ht="32.25" customHeight="1">
      <c r="A44" s="60" t="s">
        <v>53</v>
      </c>
      <c r="B44" s="116" t="s">
        <v>54</v>
      </c>
    </row>
    <row r="45" spans="1:2" ht="37.5" customHeight="1">
      <c r="A45" s="108" t="s">
        <v>55</v>
      </c>
      <c r="B45" s="81"/>
    </row>
    <row r="46" spans="1:2" ht="51.75" customHeight="1">
      <c r="A46" s="3" t="s">
        <v>56</v>
      </c>
    </row>
    <row r="47" spans="1:2" ht="68.25" customHeight="1">
      <c r="A47" s="3" t="s">
        <v>57</v>
      </c>
    </row>
    <row r="48" spans="1:2" ht="21.75" customHeight="1">
      <c r="A48" s="3" t="s">
        <v>43</v>
      </c>
    </row>
    <row r="49" spans="1:1" ht="37.5" customHeight="1">
      <c r="A49" s="11" t="s">
        <v>58</v>
      </c>
    </row>
    <row r="50" spans="1:1" ht="36.75" customHeight="1">
      <c r="A50" s="2" t="s">
        <v>59</v>
      </c>
    </row>
    <row r="51" spans="1:1" ht="152.25" customHeight="1">
      <c r="A51" s="2" t="s">
        <v>60</v>
      </c>
    </row>
    <row r="52" spans="1:1" ht="37.5" customHeight="1">
      <c r="A52" s="11" t="s">
        <v>61</v>
      </c>
    </row>
    <row r="53" spans="1:1" ht="35.25" customHeight="1">
      <c r="A53" s="3" t="s">
        <v>62</v>
      </c>
    </row>
    <row r="54" spans="1:1" ht="23.25" customHeight="1">
      <c r="A54" s="3" t="s">
        <v>63</v>
      </c>
    </row>
    <row r="55" spans="1:1" ht="39" customHeight="1">
      <c r="A55" s="3" t="s">
        <v>64</v>
      </c>
    </row>
    <row r="66" spans="1:1" ht="15.75">
      <c r="A66" s="43"/>
    </row>
  </sheetData>
  <sheetProtection algorithmName="SHA-512" hashValue="ssmpucvUUYZdBFsDJMfhxsJqFzZ5KzozYnP5FfGK7bjPQ22fVk0XvWoSBQU4rmaTtE+T8hhmLaUUUeaFN2v5bg==" saltValue="AVstkr5XGx+Lp7kvbwgFDA=="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D28"/>
  <sheetViews>
    <sheetView topLeftCell="A3" zoomScaleNormal="100" workbookViewId="0">
      <selection activeCell="B8" sqref="B8"/>
    </sheetView>
  </sheetViews>
  <sheetFormatPr defaultColWidth="8.85546875" defaultRowHeight="14.25"/>
  <cols>
    <col min="1" max="1" width="95.7109375" style="100" customWidth="1"/>
    <col min="2" max="2" width="54.7109375" style="100" customWidth="1"/>
    <col min="3" max="6" width="30.5703125" style="100" customWidth="1"/>
    <col min="7" max="360" width="8.5703125" style="100" customWidth="1"/>
    <col min="361" max="16384" width="8.85546875" style="100"/>
  </cols>
  <sheetData>
    <row r="1" spans="1:4" ht="50.25" customHeight="1">
      <c r="A1" s="45" t="s">
        <v>11</v>
      </c>
    </row>
    <row r="2" spans="1:4" s="101" customFormat="1" ht="409.5" customHeight="1">
      <c r="A2" s="33" t="s">
        <v>65</v>
      </c>
    </row>
    <row r="3" spans="1:4" s="17" customFormat="1" ht="37.5" customHeight="1">
      <c r="A3" s="125" t="s">
        <v>66</v>
      </c>
      <c r="B3" s="22"/>
      <c r="C3" s="2"/>
    </row>
    <row r="4" spans="1:4" s="101" customFormat="1" ht="31.5">
      <c r="A4" s="70" t="s">
        <v>67</v>
      </c>
      <c r="B4" s="65" t="s">
        <v>68</v>
      </c>
      <c r="C4" s="65" t="s">
        <v>69</v>
      </c>
    </row>
    <row r="5" spans="1:4" s="101" customFormat="1" ht="15">
      <c r="A5" s="9" t="s">
        <v>70</v>
      </c>
      <c r="B5" s="46"/>
      <c r="C5" s="102"/>
    </row>
    <row r="6" spans="1:4" s="101" customFormat="1" ht="15">
      <c r="A6" s="9" t="s">
        <v>71</v>
      </c>
      <c r="B6" s="19">
        <v>2.4</v>
      </c>
      <c r="C6" s="102"/>
    </row>
    <row r="7" spans="1:4" s="101" customFormat="1" ht="15">
      <c r="A7" s="9" t="s">
        <v>72</v>
      </c>
      <c r="B7" s="47">
        <v>120</v>
      </c>
      <c r="C7" s="102"/>
    </row>
    <row r="8" spans="1:4" s="101" customFormat="1" ht="123.95" customHeight="1">
      <c r="A8" s="9" t="s">
        <v>73</v>
      </c>
      <c r="B8" s="47"/>
      <c r="C8" s="102"/>
    </row>
    <row r="9" spans="1:4" s="101" customFormat="1" ht="30.75" customHeight="1">
      <c r="A9" s="9" t="s">
        <v>74</v>
      </c>
      <c r="B9" s="47"/>
      <c r="C9" s="102"/>
    </row>
    <row r="10" spans="1:4" s="101" customFormat="1" ht="15.75">
      <c r="A10" s="9" t="s">
        <v>75</v>
      </c>
      <c r="B10" s="48" t="str">
        <f>(IFERROR(IF(OR(B9="Package Treatment Plant user defined",B9="Septic Tank user defined"),"Please enter value in cell to the right:",IF(Nutrients_from_wastewater!B5&lt;DATE(2025,1,1),VLOOKUP(Nutrients_from_wastewater!B9,Value_look_up_tables!A5:J88,2,FALSE),IF(Nutrients_from_wastewater!B5&lt;DATE(2030,4,1),VLOOKUP(Nutrients_from_wastewater!B9,Value_look_up_tables!A5:J88,4,FALSE),VLOOKUP(Nutrients_from_wastewater!B9,Value_look_up_tables!A5:J87,6,FALSE)))),""))</f>
        <v/>
      </c>
      <c r="C10" s="103"/>
    </row>
    <row r="11" spans="1:4" s="101" customFormat="1" ht="15.75">
      <c r="A11" s="9" t="s">
        <v>76</v>
      </c>
      <c r="B11" s="48" t="str">
        <f>IFERROR(IF(OR(B9="Package Treatment Plant user defined",B9="Septic Tank user defined"),"Please enter value in cell to the right:",IF(AND(B5&lt;DATE(2025,1,1)),VLOOKUP(B9,Value_look_up_tables!$A$5:$J$87,3,FALSE),IF(AND(B5&lt;DATE(2025,1,1)),VLOOKUP(B9,Value_look_up_tables!$A$5:$J$87,3,FALSE),IF(AND(B5&lt;DATE(2030,4,1),B5&gt;=DATE(2025,1,1)),VLOOKUP(B9,Value_look_up_tables!$A$5:$J$87,5,FALSE),IF(AND(B5&lt;DATE(2030,4,1),B5&gt;=DATE(2025,1,1)),IF(AND(B5&lt;DATE(2030,4,1)),VLOOKUP(B9,Value_look_up_tables!$A$5:$J$87,3,FALSE),IF(AND(B5&lt;DATE(2030,4,1)),VLOOKUP(B9,Value_look_up_tables!$A$5:$J$87,5,FALSE),IF(AND(B5&gt;=DATE(2030,4,1)),VLOOKUP(B9,Value_look_up_tables!$A$5:$J$87,7,FALSE),IF(AND(B5&gt;=DATE(2030,4,1)),VLOOKUP(B9,Value_look_up_tables!$A$5:$J$87,7,FALSE),"")))),VLOOKUP(B9,Value_look_up_tables!$A$5:$J$87,7,FALSE)))))),"")</f>
        <v/>
      </c>
      <c r="C11" s="103"/>
      <c r="D11" s="104"/>
    </row>
    <row r="12" spans="1:4" s="101" customFormat="1" ht="20.100000000000001" customHeight="1">
      <c r="A12" s="9" t="str">
        <f>IFERROR(IF(AND($B$5&lt;DATE(2025,1,1),(VLOOKUP($B$9,Value_look_up_tables!$A$5:$E$85,2,FALSE))&gt;(VLOOKUP($B$9,Value_look_up_tables!$A$5:$E$85,4,FALSE))), "Post 2025 WwTW P permit (mg TP/litre):",""),"")</f>
        <v/>
      </c>
      <c r="B12" s="48" t="str">
        <f>IFERROR(IF(AND($B$5&lt;DATE(2025,1,1),(VLOOKUP($B$9,Value_look_up_tables!$A$5:$E$85,2,FALSE))&gt;(VLOOKUP($B$9,Value_look_up_tables!$A$5:$E$85,4,FALSE))), VLOOKUP($B$9,Value_look_up_tables!A5:E88,4,FALSE),""),"")</f>
        <v/>
      </c>
      <c r="C12" s="102"/>
    </row>
    <row r="13" spans="1:4" s="101" customFormat="1" ht="20.100000000000001" customHeight="1">
      <c r="A13" s="9" t="str">
        <f>IFERROR(IF(AND($B$5&lt;DATE(2025,1,1),(VLOOKUP($B$9,Value_look_up_tables!$A$5:$E$85,3,FALSE))&gt;(VLOOKUP($B$9,Value_look_up_tables!$A$5:$E$85,5,FALSE))), "Post 2025 WwTW N permit (mg TN/litre):",""),"")</f>
        <v/>
      </c>
      <c r="B13" s="48" t="str">
        <f>IFERROR(IF(AND($B$5&lt;DATE(2025,1,1),(VLOOKUP($B$9,Value_look_up_tables!$A$5:$J$85,3,FALSE))&gt;(VLOOKUP($B$9,Value_look_up_tables!$A$5:$J$85,5,FALSE))), VLOOKUP(B9,Value_look_up_tables!$A$5:$J$88,5,FALSE),""),"")</f>
        <v/>
      </c>
      <c r="C13" s="102"/>
    </row>
    <row r="14" spans="1:4" s="101" customFormat="1" ht="20.100000000000001" customHeight="1">
      <c r="A14" s="9" t="str">
        <f>IFERROR(IF(AND($B$5&lt;DATE(2030,4,1),(VLOOKUP($B$9,Value_look_up_tables!$A$5:$J$85,4,FALSE))&gt;(VLOOKUP($B$9,Value_look_up_tables!$A$5:$J$85,6,FALSE))), "Post 2030 WwTW P permit (mg TP/litre):",""),"")</f>
        <v/>
      </c>
      <c r="B14" s="48" t="str">
        <f>IFERROR(IF(AND($B$5&lt;DATE(2030,4,1),(VLOOKUP($B$9,Value_look_up_tables!$A$5:$J$85,4,FALSE))&gt;(VLOOKUP($B$9,Value_look_up_tables!$A$5:$J$85,6,FALSE))), VLOOKUP($B$9,Value_look_up_tables!$A$5:$J$88,6,FALSE),""),"")</f>
        <v/>
      </c>
      <c r="C14" s="102"/>
    </row>
    <row r="15" spans="1:4" s="101" customFormat="1" ht="20.100000000000001" customHeight="1">
      <c r="A15" s="6" t="str">
        <f>IFERROR(IF(AND($B$5&lt;DATE(2030,4,1),(VLOOKUP($B$9,Value_look_up_tables!$A$5:$J$85,5,FALSE))&gt;(VLOOKUP($B$9,Value_look_up_tables!$A$5:$J$85,7,FALSE))), "Post 2030 WwTW N permit (mg TN/litre):",""),"")</f>
        <v/>
      </c>
      <c r="B15" s="20" t="str">
        <f>IFERROR(IF(AND($B$5&lt;DATE(2030,4,1),(VLOOKUP($B$9,Value_look_up_tables!$A$5:$J$85,5,FALSE))&gt;(VLOOKUP($B$9,Value_look_up_tables!$A$5:$J$85,7,FALSE))), VLOOKUP($B$9,Value_look_up_tables!$A$5:$J$88,7,FALSE),""),"")</f>
        <v/>
      </c>
      <c r="C15" s="105"/>
    </row>
    <row r="16" spans="1:4" s="17" customFormat="1" ht="37.5" customHeight="1">
      <c r="A16" s="126" t="s">
        <v>77</v>
      </c>
      <c r="B16" s="49"/>
    </row>
    <row r="17" spans="1:3" s="101" customFormat="1" ht="15.75">
      <c r="A17" s="62" t="s">
        <v>78</v>
      </c>
      <c r="B17" s="63" t="s">
        <v>79</v>
      </c>
      <c r="C17" s="106"/>
    </row>
    <row r="18" spans="1:3" s="101" customFormat="1" ht="15.75">
      <c r="A18" s="83" t="str">
        <f>IFERROR(IF(AND($B$5&lt;DATE(2030,4,1),OR((VLOOKUP($B$9,Value_look_up_tables!$A$5:$J$85,4,FALSE))&gt;(VLOOKUP($B$9,Value_look_up_tables!$A$5:$J$85,6,FALSE)),(VLOOKUP($B$9,Value_look_up_tables!$A$5:$J$85,5,FALSE))&gt;(VLOOKUP($B$9,Value_look_up_tables!$A$5:$J$85,7,FALSE)))),"Post-2030 Stage 1 Nutrient Loading",IF(AND($B$5&lt;DATE(2025,1,1),OR((VLOOKUP($B$9,Value_look_up_tables!$A$5:$E$85,2,FALSE))&gt;(VLOOKUP($B$9,Value_look_up_tables!$A$5:$E$85,4,FALSE)),(VLOOKUP($B$9,Value_look_up_tables!$A$5:$E$85,3,FALSE))&gt;(VLOOKUP($B$9,Value_look_up_tables!$A$5:$E$85,5,FALSE)))),"Post-2025 Stage 1 Nutrient Loading","Stage 1 Nutrient Loading")),"")</f>
        <v/>
      </c>
      <c r="B18" s="107"/>
    </row>
    <row r="19" spans="1:3" s="101" customFormat="1" ht="15.75">
      <c r="A19" s="7" t="s">
        <v>80</v>
      </c>
      <c r="B19" s="50" t="str">
        <f>IF(ISBLANK(B8),"",B6*B8)</f>
        <v/>
      </c>
    </row>
    <row r="20" spans="1:3" s="101" customFormat="1" ht="15.75">
      <c r="A20" s="8" t="s">
        <v>81</v>
      </c>
      <c r="B20" s="20" t="str">
        <f>IFERROR(B19*B7,"")</f>
        <v/>
      </c>
    </row>
    <row r="21" spans="1:3" s="101" customFormat="1" ht="15.75">
      <c r="A21" s="8" t="s">
        <v>82</v>
      </c>
      <c r="B21" s="20" t="str">
        <f>IFERROR(ROUND(IF(ISNUMBER(B14),B14*B20*0.9/1000000*365.25,IF(ISNUMBER(B12),B12*B20*0.9/1000000*365.25,IF(B10="Please enter value in cell to the right:",IF(AND(B10="Please enter value in cell to the right:",ISNUMBER(C10)),B20*C10/1000000*365.25, VLOOKUP((LEFT(B9,(LEN(B9)-13))&amp;" default"),Value_look_up_tables!$A$84:$C$85,2,FALSE)*B20/1000000*365.25),IF(OR(B9="Package Treatment Plant default",B9="Septic Tank default"),B10*B20/1000000*365.25,IF(B10=8,B10*B20/1000000*365.25,B10*B20*0.9/1000000*365.25))))),2),"")</f>
        <v/>
      </c>
    </row>
    <row r="22" spans="1:3" s="101" customFormat="1" ht="15.75">
      <c r="A22" s="8" t="s">
        <v>83</v>
      </c>
      <c r="B22" s="20" t="str">
        <f>IFERROR(ROUND(IF(ISNUMBER(B15),B15*B20*0.9/1000000*365.25,IF(ISNUMBER(B13),B13*B20*0.9/1000000*365.25,IF(B11="Please enter value in cell to the right:",IF(AND(B11="Please enter value in cell to the right:",ISNUMBER(C11)),B20*(IF(C11&lt;0,0,C11))/1000000*365.25, VLOOKUP((LEFT(B9,(LEN(B9)-13))&amp;" default"),Value_look_up_tables!$A$84:$C$85,3,FALSE)*B20/1000000*365.25),IF(OR(B9="Package Treatment Plant default",B9="Septic Tank default"),B11*B20/1000000*365.25,IF(B11=27,B11*B20/1000000*365.25,B11*B20*0.9/1000000*365.25))))),2),"")</f>
        <v/>
      </c>
    </row>
    <row r="23" spans="1:3" s="101" customFormat="1" ht="15.75">
      <c r="A23" s="84" t="str">
        <f>IFERROR(IF(AND($B$5&lt;DATE(2030,4,1),OR((VLOOKUP($B$9,Value_look_up_tables!$A$5:$J$85,4,FALSE))&gt;(VLOOKUP($B$9,Value_look_up_tables!$A$5:$J$85,6,FALSE)),(VLOOKUP($B$9,Value_look_up_tables!$A$5:$J$85,5,FALSE))&gt;(VLOOKUP($B$9,Value_look_up_tables!$A$5:$J$85,7,FALSE)))),"Pre-2030 Stage 1 Nutrient Loading",IF(AND($B$5&lt;DATE(2025,1,1),OR((VLOOKUP($B$9,Value_look_up_tables!$A$5:$E$85,2,FALSE))&gt;(VLOOKUP($B$9,Value_look_up_tables!$A$5:$E$85,4,FALSE)),(VLOOKUP($B$9,Value_look_up_tables!$A$5:$E$85,3,FALSE))&gt;(VLOOKUP($B$9,Value_look_up_tables!$A$5:$E$85,5,FALSE)))),"Pre-2025 Stage 1 Nutrient Loading","")),"")</f>
        <v/>
      </c>
      <c r="B23" s="85"/>
    </row>
    <row r="24" spans="1:3" s="101" customFormat="1" ht="15.75">
      <c r="A24" s="7" t="str">
        <f>IFERROR(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Annual wastewater TP load (kg TP/yr):",""),"")</f>
        <v/>
      </c>
      <c r="B24" s="52" t="str">
        <f>IFERROR(ROUND(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IF(ISNUMBER(B12),IF(B12=8,(B12*B$20)/1000000*365.25,(B12*B$20*0.9)/1000000*365.25),IF(B10=8,(B10*B$20)/1000000*365.25,(B10*B$20*0.9)/1000000*365.25)),""),2),"")</f>
        <v/>
      </c>
    </row>
    <row r="25" spans="1:3" s="101" customFormat="1" ht="15.75">
      <c r="A25" s="7" t="str">
        <f>IFERROR(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Annual wastewater TN load (kg TN/yr):",""),"")</f>
        <v/>
      </c>
      <c r="B25" s="52" t="str">
        <f>IFERROR(ROUND(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IF(ISNUMBER(B13),IF(B13=27,(B13*B$20)/1000000*365.25,(B13*B$20*0.9)/1000000*365.25),IF(B11=27,(B11*B$20)/1000000*365.25,(B11*B$20*0.9)/1000000*365.25)),""),2),"")</f>
        <v/>
      </c>
    </row>
    <row r="26" spans="1:3" s="101" customFormat="1" ht="15.75">
      <c r="A26" s="84" t="str">
        <f>IFERROR(IF(AND($B$5&lt;DATE(2025,1,1),$B$5&lt;DATE(2030,4,1),OR((VLOOKUP($B$9,Value_look_up_tables!$A$5:$J$85,4,FALSE))&gt;(VLOOKUP($B$9,Value_look_up_tables!$A$5:$J$85,6,FALSE)),(VLOOKUP($B$9,Value_look_up_tables!$A$5:$J$85,5,FALSE))&gt;(VLOOKUP($B$9,Value_look_up_tables!$A$5:$J$85,7,FALSE)))),IF(AND(B27="",B28=""),"","Pre-2025 Stage 1 Nutrient Loading"),IF(AND($B$5&lt;DATE(2025,1,1),OR((VLOOKUP($B$9,Value_look_up_tables!$A$5:$E$85,2,FALSE))&gt;(VLOOKUP($B$9,Value_look_up_tables!$A$5:$E$85,4,FALSE)),(VLOOKUP($B$9,Value_look_up_tables!$A$5:$E$85,3,FALSE))&gt;(VLOOKUP($B$9,Value_look_up_tables!$A$5:$E$85,5,FALSE)))),"Stage 1 Nutrient Loading","")),"")</f>
        <v/>
      </c>
      <c r="B26" s="85"/>
    </row>
    <row r="27" spans="1:3" s="101" customFormat="1" ht="15.75">
      <c r="A27" s="7" t="str">
        <f>IFERROR(IF(AND($B$5&lt;DATE(2025,1,1),OR((VLOOKUP($B$9,Value_look_up_tables!$A$5:$E$85,2,FALSE))&gt;(VLOOKUP($B$9,Value_look_up_tables!$A$5:$E$85,4,FALSE)),(VLOOKUP($B$9,Value_look_up_tables!$A$5:$E$85,3,FALSE))&gt;(VLOOKUP($B$9,Value_look_up_tables!$A$5:$E$85,5,FALSE)))),"Annual wastewater TP load (kg TP/yr):",""),"")</f>
        <v/>
      </c>
      <c r="B27" s="51" t="str">
        <f>IFERROR(ROUND(IF(AND($B$5&lt;DATE(2025,1,1),$B$5&lt;DATE(2030,4,1),OR((VLOOKUP($B$9,Value_look_up_tables!$A$5:$J$85,4,FALSE))&gt;(VLOOKUP($B$9,Value_look_up_tables!$A$5:$J$85,6,FALSE)),(VLOOKUP($B$9,Value_look_up_tables!$A$5:$J$85,5,FALSE))&gt;(VLOOKUP($B$9,Value_look_up_tables!$A$5:$J$85,7,FALSE)),(VLOOKUP($B$9,Value_look_up_tables!$A$5:$J$85,2,FALSE))&gt;(VLOOKUP($B$9,Value_look_up_tables!$A$5:$J$85,4,FALSE)),(VLOOKUP($B$9,Value_look_up_tables!$A$5:$J$85,3,FALSE))&gt;(VLOOKUP($B$9,Value_look_up_tables!$A$5:$J$85,5,FALSE)))),IF(ISNUMBER(B12),IF(B10=8,(B10*B$20)/1000000*365.25,(B10*B$20*0.9)/1000000*365.25),IF(B12=8,(B12*B$20)/1000000*365.25,(B12*B$20*0.9)/1000000*365.25)),""),2),IF(ISNUMBER(B13),B25,""))</f>
        <v/>
      </c>
    </row>
    <row r="28" spans="1:3" s="101" customFormat="1" ht="15.75">
      <c r="A28" s="7" t="str">
        <f>IFERROR(IF(AND($B$5&lt;DATE(2025,1,1),OR((VLOOKUP($B$9,Value_look_up_tables!$A$5:$E$85,2,FALSE))&gt;(VLOOKUP($B$9,Value_look_up_tables!$A$5:$E$85,4,FALSE)),(VLOOKUP($B$9,Value_look_up_tables!$A$5:$E$85,3,FALSE))&gt;(VLOOKUP($B$9,Value_look_up_tables!$A$5:$E$85,5,FALSE)))),"Annual wastewater TN load (kg TN/yr):",""),"")</f>
        <v/>
      </c>
      <c r="B28" s="51" t="str">
        <f>IFERROR(ROUND(IF(AND($B$5&lt;DATE(2025,1,1),$B$5&lt;DATE(2030,4,1),OR((VLOOKUP($B$9,Value_look_up_tables!$A$5:$J$85,4,FALSE))&gt;(VLOOKUP($B$9,Value_look_up_tables!$A$5:$J$85,6,FALSE)),(VLOOKUP($B$9,Value_look_up_tables!$A$5:$J$85,5,FALSE))&gt;(VLOOKUP($B$9,Value_look_up_tables!$A$5:$J$85,7,FALSE)),(VLOOKUP($B$9,Value_look_up_tables!$A$5:$J$85,2,FALSE))&gt;(VLOOKUP($B$9,Value_look_up_tables!$A$5:$J$85,4,FALSE)),(VLOOKUP($B$9,Value_look_up_tables!$A$5:$J$85,3,FALSE))&gt;(VLOOKUP($B$9,Value_look_up_tables!$A$5:$J$85,5,FALSE)))),IF(ISNUMBER(B13),IF(B11=27,(B11*B$20)/1000000*365.25,(B11*B$20*0.9)/1000000*365.25),IF(B13=27,(B13*B$20)/1000000*365.25,(B13*B$20*0.9)/1000000*365.25)),""),2),IF(ISNUMBER(B12),B25,""))</f>
        <v/>
      </c>
    </row>
  </sheetData>
  <sheetProtection algorithmName="SHA-512" hashValue="97JUAjGn4sb8ZsN13rJjTR8dyRcPtLqeX8OA6PJjL+CDocYYIkBBSZVLkDFptUK/G5aWyy9oeF88AnHj2JBhJQ==" saltValue="jXC/tnvqyBg5OpYJc+VDN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112" priority="2">
      <formula>$B$10="Please enter value in cell to the right:"</formula>
    </cfRule>
  </conditionalFormatting>
  <conditionalFormatting sqref="C11">
    <cfRule type="expression" dxfId="111" priority="1">
      <formula>$B$11="Please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Value_look_up_tables!$A$5:$A$87</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40625" defaultRowHeight="14.25"/>
  <cols>
    <col min="1" max="1" width="94.42578125" style="17" customWidth="1"/>
    <col min="2" max="2" width="40.5703125" style="17" customWidth="1"/>
    <col min="3" max="3" width="24.7109375" style="17" customWidth="1"/>
    <col min="4" max="4" width="21.28515625" style="17" customWidth="1"/>
    <col min="5" max="5" width="76.7109375" style="17" customWidth="1"/>
    <col min="6" max="387" width="8.5703125" style="17" customWidth="1"/>
    <col min="388" max="16384" width="9.140625" style="17"/>
  </cols>
  <sheetData>
    <row r="1" spans="1:7" ht="30">
      <c r="A1" s="14" t="s">
        <v>13</v>
      </c>
      <c r="B1" s="15"/>
      <c r="C1" s="15"/>
      <c r="D1" s="15"/>
      <c r="E1" s="15"/>
    </row>
    <row r="2" spans="1:7" s="2" customFormat="1" ht="409.5" customHeight="1">
      <c r="A2" s="33" t="s">
        <v>84</v>
      </c>
      <c r="B2" s="22"/>
      <c r="C2" s="22"/>
      <c r="D2" s="22"/>
      <c r="E2" s="22"/>
      <c r="F2" s="22"/>
    </row>
    <row r="3" spans="1:7" ht="69.95" customHeight="1">
      <c r="A3" s="23" t="s">
        <v>85</v>
      </c>
      <c r="B3" s="16"/>
      <c r="C3" s="16"/>
      <c r="D3" s="16"/>
      <c r="F3" s="2"/>
      <c r="G3" s="2"/>
    </row>
    <row r="4" spans="1:7" s="2" customFormat="1" ht="15.75">
      <c r="A4" s="68" t="s">
        <v>67</v>
      </c>
      <c r="B4" s="69" t="s">
        <v>86</v>
      </c>
      <c r="C4" s="22"/>
      <c r="D4" s="22"/>
    </row>
    <row r="5" spans="1:7" s="2" customFormat="1" ht="23.25" customHeight="1">
      <c r="A5" s="9" t="s">
        <v>87</v>
      </c>
      <c r="B5" s="27"/>
      <c r="C5" s="24"/>
      <c r="G5" s="109"/>
    </row>
    <row r="6" spans="1:7" s="2" customFormat="1" ht="23.25" customHeight="1">
      <c r="A6" s="9" t="s">
        <v>88</v>
      </c>
      <c r="B6" s="28"/>
      <c r="C6" s="24"/>
    </row>
    <row r="7" spans="1:7" s="2" customFormat="1" ht="23.25" customHeight="1">
      <c r="A7" s="9" t="s">
        <v>89</v>
      </c>
      <c r="B7" s="29"/>
      <c r="C7" s="24"/>
    </row>
    <row r="8" spans="1:7" s="2" customFormat="1" ht="23.25" customHeight="1">
      <c r="A8" s="6" t="s">
        <v>90</v>
      </c>
      <c r="B8" s="30"/>
      <c r="C8" s="24"/>
    </row>
    <row r="9" spans="1:7" ht="69.95" customHeight="1">
      <c r="A9" s="97" t="s">
        <v>91</v>
      </c>
      <c r="B9" s="96"/>
      <c r="C9" s="24"/>
      <c r="D9" s="2"/>
      <c r="E9" s="2"/>
      <c r="F9" s="2"/>
      <c r="G9" s="2"/>
    </row>
    <row r="10" spans="1:7" s="2" customFormat="1" ht="54.75" customHeight="1">
      <c r="A10" s="31" t="s">
        <v>92</v>
      </c>
      <c r="B10" s="32" t="s">
        <v>93</v>
      </c>
      <c r="C10" s="32" t="s">
        <v>94</v>
      </c>
      <c r="D10" s="32" t="s">
        <v>95</v>
      </c>
      <c r="E10" s="32" t="s">
        <v>96</v>
      </c>
      <c r="G10" s="109"/>
    </row>
    <row r="11" spans="1:7" s="2" customFormat="1" ht="37.5" customHeight="1">
      <c r="A11" s="4"/>
      <c r="B11" s="19"/>
      <c r="C11" s="86"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B$8,Value_look_up_tables!$A$491:$B$492,2,FALSE)&amp;"|"&amp;VLOOKUP(Nutrients_from_current_land_use!$B$7,Value_look_up_tables!$A$450:$C$472,3,FALSE)&amp;"|"&amp;VLOOKUP($B$6,Value_look_up_tables!$A$482:$B$487,2,FALSE)))),Value_look_up_tables!$F$91:$H$446,2,FALSE),
IFERROR(IFERROR($B11*VLOOKUP($A11&amp;"|"&amp;VLOOKUP(Nutrients_from_current_land_use!$B$8,Value_look_up_tables!$A$491:$B$492,2,FALSE)&amp;"|"&amp;VLOOKUP(Nutrients_from_current_land_use!$B$7,Value_look_up_tables!$A$450:$C$472,3,FALSE)&amp;"|"&amp;VLOOKUP($B$6,Value_look_up_tables!$A$482:$B$487,2,FALSE),Value_look_up_tables!$F$91:$H$446,2,FALSE),IFERROR($B11*VLOOKUP($A11&amp;"|"&amp;"TRUE"&amp;"|"&amp;VLOOKUP(Nutrients_from_current_land_use!$B$7,Value_look_up_tables!$A$450:$C$472,3,FALSE)&amp;"|"&amp;VLOOKUP($B$6,Value_look_up_tables!$A$482:$B$487,2,FALSE),Value_look_up_tables!$F$91:$H$446,2,FALSE),$B11*VLOOKUP($A11&amp;"|"&amp;VLOOKUP(Nutrients_from_current_land_use!$B$8,Value_look_up_tables!$A$491:$B$492,2,FALSE)&amp;"|"&amp;VLOOKUP(Nutrients_from_current_land_use!$B$7,Value_look_up_tables!$A$450:$C$472,3,FALSE)&amp;"|"&amp;"DrainedArGr",Value_look_up_tables!$F$91:$H$446,2,FALSE))),IFERROR($B11*VLOOKUP($A11&amp;"|"&amp;VLOOKUP(Nutrients_from_current_land_use!$B$7,Value_look_up_tables!$A$450:$C$472,3,FALSE),Value_look_up_tables!$I$91:$K$438,2,FALSE),$B11*VLOOKUP($A11,Value_look_up_tables!$B$91:$M$438,11,FALSE)))))</f>
        <v/>
      </c>
      <c r="D11" s="86"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B$8,Value_look_up_tables!$A$491:$B$492,2,FALSE)&amp;"|"&amp;VLOOKUP(Nutrients_from_current_land_use!$B$7,Value_look_up_tables!$A$450:$C$472,3,FALSE)&amp;"|"&amp;VLOOKUP($B$6,Value_look_up_tables!$A$482:$B$487,2,FALSE)))),Value_look_up_tables!$F$91:$H$446,3,FALSE),
IFERROR(IFERROR($B11*VLOOKUP($A11&amp;"|"&amp;VLOOKUP(Nutrients_from_current_land_use!$B$8,Value_look_up_tables!$A$491:$B$492,2,FALSE)&amp;"|"&amp;VLOOKUP(Nutrients_from_current_land_use!$B$7,Value_look_up_tables!$A$450:$C$472,3,FALSE)&amp;"|"&amp;VLOOKUP($B$6,Value_look_up_tables!$A$482:$B$487,2,FALSE),Value_look_up_tables!$F$91:$H$446,3,FALSE),IFERROR($B11*VLOOKUP($A11&amp;"|"&amp;"TRUE"&amp;"|"&amp;VLOOKUP(Nutrients_from_current_land_use!$B$7,Value_look_up_tables!$A$450:$C$472,3,FALSE)&amp;"|"&amp;VLOOKUP($B$6,Value_look_up_tables!$A$482:$B$487,2,FALSE),Value_look_up_tables!$F$91:$H$446,3,FALSE),$B11*VLOOKUP($A11&amp;"|"&amp;VLOOKUP(Nutrients_from_current_land_use!$B$8,Value_look_up_tables!$A$491:$B$492,2,FALSE)&amp;"|"&amp;VLOOKUP(Nutrients_from_current_land_use!$B$7,Value_look_up_tables!$A$450:$C$472,3,FALSE)&amp;"|"&amp;"DrainedArGr",Value_look_up_tables!$F$91:$H$446,3,FALSE))),IFERROR($B11*VLOOKUP($A11&amp;"|"&amp;VLOOKUP(Nutrients_from_current_land_use!$B$7,Value_look_up_tables!$A$450:$C$472,3,FALSE),Value_look_up_tables!$I$91:$K$438,3,FALSE),$B11*VLOOKUP($A11,Value_look_up_tables!$B$91:$M$438,12,FALSE)))))</f>
        <v/>
      </c>
      <c r="E11" s="5" t="str">
        <f>IF(OR(ISBLANK($A11),ISBLANK($B11),ISBLANK($B$6),ISBLANK($B$5),ISBLANK($B$7),$A11="Residential urban land",$A11="Commercial/industrial urban land",$A11="Open urban land",$A11="Greenspace",$A11="Community food growing",$A11="Woodland",$A11="Shrub",$A11="Water"),"",IF(ISNUMBER(IFERROR($B11*VLOOKUP((IF(OR($A11="Residential urban land",$A11="Commercial/industrial urban land",$A11="Open urban land",$A11="Greenspace",$A11="Community food growing",$A11="Woodland",$A11="Shrub",$A11="Water"),"|||"&amp;$A11,(VLOOKUP(Nutrients_from_current_land_use!$B$5,Value_look_up_tables!$A$476:$B$478,2,FALSE)&amp;"|"&amp;$A11&amp;"|"&amp;VLOOKUP(Nutrients_from_current_land_use!$B$8,Value_look_up_tables!$A$491:$B$492,2,FALSE)&amp;"|"&amp;VLOOKUP(Nutrients_from_current_land_use!$B$7, Value_look_up_tables!$A$450:$C$472,3,FALSE)&amp;"|"&amp;VLOOKUP($B$6,Value_look_up_tables!$A$482:$B$487,2,FALSE)))), Value_look_up_tables!$F$91:$H$446,3,FALSE),IFERROR($B11*VLOOKUP($A11&amp;"|"&amp;VLOOKUP(Nutrients_from_current_land_use!$B$8,Value_look_up_tables!$A$227:$B$228,2,FALSE)&amp;"|"&amp;VLOOKUP(Nutrients_from_current_land_use!$B$7,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2" spans="1:7" s="2" customFormat="1" ht="37.5" customHeight="1">
      <c r="A12" s="4"/>
      <c r="B12" s="19"/>
      <c r="C12" s="86"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B$8,Value_look_up_tables!$A$491:$B$492,2,FALSE)&amp;"|"&amp;VLOOKUP(Nutrients_from_current_land_use!$B$7,Value_look_up_tables!$A$450:$C$472,3,FALSE)&amp;"|"&amp;VLOOKUP($B$6,Value_look_up_tables!$A$482:$B$487,2,FALSE)))),Value_look_up_tables!$F$91:$H$446,2,FALSE),
IFERROR(IFERROR($B12*VLOOKUP($A12&amp;"|"&amp;VLOOKUP(Nutrients_from_current_land_use!$B$8,Value_look_up_tables!$A$491:$B$492,2,FALSE)&amp;"|"&amp;VLOOKUP(Nutrients_from_current_land_use!$B$7,Value_look_up_tables!$A$450:$C$472,3,FALSE)&amp;"|"&amp;VLOOKUP($B$6,Value_look_up_tables!$A$482:$B$487,2,FALSE),Value_look_up_tables!$F$91:$H$446,2,FALSE),IFERROR($B12*VLOOKUP($A12&amp;"|"&amp;"TRUE"&amp;"|"&amp;VLOOKUP(Nutrients_from_current_land_use!$B$7,Value_look_up_tables!$A$450:$C$472,3,FALSE)&amp;"|"&amp;VLOOKUP($B$6,Value_look_up_tables!$A$482:$B$487,2,FALSE),Value_look_up_tables!$F$91:$H$446,2,FALSE),$B12*VLOOKUP($A12&amp;"|"&amp;VLOOKUP(Nutrients_from_current_land_use!$B$8,Value_look_up_tables!$A$491:$B$492,2,FALSE)&amp;"|"&amp;VLOOKUP(Nutrients_from_current_land_use!$B$7,Value_look_up_tables!$A$450:$C$472,3,FALSE)&amp;"|"&amp;"DrainedArGr",Value_look_up_tables!$F$91:$H$446,2,FALSE))),IFERROR($B12*VLOOKUP($A12&amp;"|"&amp;VLOOKUP(Nutrients_from_current_land_use!$B$7,Value_look_up_tables!$A$450:$C$472,3,FALSE),Value_look_up_tables!$I$91:$K$438,2,FALSE),$B12*VLOOKUP($A12,Value_look_up_tables!$B$91:$M$438,11,FALSE)))))</f>
        <v/>
      </c>
      <c r="D12" s="86"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B$8,Value_look_up_tables!$A$491:$B$492,2,FALSE)&amp;"|"&amp;VLOOKUP(Nutrients_from_current_land_use!$B$7,Value_look_up_tables!$A$450:$C$472,3,FALSE)&amp;"|"&amp;VLOOKUP($B$6,Value_look_up_tables!$A$482:$B$487,2,FALSE)))),Value_look_up_tables!$F$91:$H$446,3,FALSE),
IFERROR(IFERROR($B12*VLOOKUP($A12&amp;"|"&amp;VLOOKUP(Nutrients_from_current_land_use!$B$8,Value_look_up_tables!$A$491:$B$492,2,FALSE)&amp;"|"&amp;VLOOKUP(Nutrients_from_current_land_use!$B$7,Value_look_up_tables!$A$450:$C$472,3,FALSE)&amp;"|"&amp;VLOOKUP($B$6,Value_look_up_tables!$A$482:$B$487,2,FALSE),Value_look_up_tables!$F$91:$H$446,3,FALSE),IFERROR($B12*VLOOKUP($A12&amp;"|"&amp;"TRUE"&amp;"|"&amp;VLOOKUP(Nutrients_from_current_land_use!$B$7,Value_look_up_tables!$A$450:$C$472,3,FALSE)&amp;"|"&amp;VLOOKUP($B$6,Value_look_up_tables!$A$482:$B$487,2,FALSE),Value_look_up_tables!$F$91:$H$446,3,FALSE),$B12*VLOOKUP($A12&amp;"|"&amp;VLOOKUP(Nutrients_from_current_land_use!$B$8,Value_look_up_tables!$A$491:$B$492,2,FALSE)&amp;"|"&amp;VLOOKUP(Nutrients_from_current_land_use!$B$7,Value_look_up_tables!$A$450:$C$472,3,FALSE)&amp;"|"&amp;"DrainedArGr",Value_look_up_tables!$F$91:$H$446,3,FALSE))),IFERROR($B12*VLOOKUP($A12&amp;"|"&amp;VLOOKUP(Nutrients_from_current_land_use!$B$7,Value_look_up_tables!$A$450:$C$472,3,FALSE),Value_look_up_tables!$I$91:$K$438,3,FALSE),$B12*VLOOKUP($A12,Value_look_up_tables!$B$91:$M$438,12,FALSE)))))</f>
        <v/>
      </c>
      <c r="E12" s="5" t="str">
        <f>IF(OR(ISBLANK($A12),ISBLANK($B12),ISBLANK($B$6),ISBLANK($B$5),ISBLANK($B$7),$A12="Residential urban land",$A12="Commercial/industrial urban land",$A12="Open urban land",$A12="Greenspace",$A12="Community food growing",$A12="Woodland",$A12="Shrub",$A12="Water"),"",IF(ISNUMBER(IFERROR($B12*VLOOKUP((IF(OR($A12="Residential urban land",$A12="Commercial/industrial urban land",$A12="Open urban land",$A12="Greenspace",$A12="Community food growing",$A12="Woodland",$A12="Shrub",$A12="Water"),"|||"&amp;$A12,(VLOOKUP(Nutrients_from_current_land_use!$B$5,Value_look_up_tables!$A$476:$B$478,2,FALSE)&amp;"|"&amp;$A12&amp;"|"&amp;VLOOKUP(Nutrients_from_current_land_use!$B$8,Value_look_up_tables!$A$491:$B$492,2,FALSE)&amp;"|"&amp;VLOOKUP(Nutrients_from_current_land_use!$B$7, Value_look_up_tables!$A$450:$C$472,3,FALSE)&amp;"|"&amp;VLOOKUP($B$6,Value_look_up_tables!$A$482:$B$487,2,FALSE)))), Value_look_up_tables!$F$91:$H$446,3,FALSE),IFERROR($B12*VLOOKUP($A12&amp;"|"&amp;VLOOKUP(Nutrients_from_current_land_use!$B$8,Value_look_up_tables!$A$227:$B$228,2,FALSE)&amp;"|"&amp;VLOOKUP(Nutrients_from_current_land_use!$B$7,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3" spans="1:7" s="2" customFormat="1" ht="37.5" customHeight="1">
      <c r="A13" s="4"/>
      <c r="B13" s="19"/>
      <c r="C13" s="86"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B$8,Value_look_up_tables!$A$491:$B$492,2,FALSE)&amp;"|"&amp;VLOOKUP(Nutrients_from_current_land_use!$B$7,Value_look_up_tables!$A$450:$C$472,3,FALSE)&amp;"|"&amp;VLOOKUP($B$6,Value_look_up_tables!$A$482:$B$487,2,FALSE)))),Value_look_up_tables!$F$91:$H$446,2,FALSE),
IFERROR(IFERROR($B13*VLOOKUP($A13&amp;"|"&amp;VLOOKUP(Nutrients_from_current_land_use!$B$8,Value_look_up_tables!$A$491:$B$492,2,FALSE)&amp;"|"&amp;VLOOKUP(Nutrients_from_current_land_use!$B$7,Value_look_up_tables!$A$450:$C$472,3,FALSE)&amp;"|"&amp;VLOOKUP($B$6,Value_look_up_tables!$A$482:$B$487,2,FALSE),Value_look_up_tables!$F$91:$H$446,2,FALSE),IFERROR($B13*VLOOKUP($A13&amp;"|"&amp;"TRUE"&amp;"|"&amp;VLOOKUP(Nutrients_from_current_land_use!$B$7,Value_look_up_tables!$A$450:$C$472,3,FALSE)&amp;"|"&amp;VLOOKUP($B$6,Value_look_up_tables!$A$482:$B$487,2,FALSE),Value_look_up_tables!$F$91:$H$446,2,FALSE),$B13*VLOOKUP($A13&amp;"|"&amp;VLOOKUP(Nutrients_from_current_land_use!$B$8,Value_look_up_tables!$A$491:$B$492,2,FALSE)&amp;"|"&amp;VLOOKUP(Nutrients_from_current_land_use!$B$7,Value_look_up_tables!$A$450:$C$472,3,FALSE)&amp;"|"&amp;"DrainedArGr",Value_look_up_tables!$F$91:$H$446,2,FALSE))),IFERROR($B13*VLOOKUP($A13&amp;"|"&amp;VLOOKUP(Nutrients_from_current_land_use!$B$7,Value_look_up_tables!$A$450:$C$472,3,FALSE),Value_look_up_tables!$I$91:$K$438,2,FALSE),$B13*VLOOKUP($A13,Value_look_up_tables!$B$91:$M$438,11,FALSE)))))</f>
        <v/>
      </c>
      <c r="D13" s="86"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B$8,Value_look_up_tables!$A$491:$B$492,2,FALSE)&amp;"|"&amp;VLOOKUP(Nutrients_from_current_land_use!$B$7,Value_look_up_tables!$A$450:$C$472,3,FALSE)&amp;"|"&amp;VLOOKUP($B$6,Value_look_up_tables!$A$482:$B$487,2,FALSE)))),Value_look_up_tables!$F$91:$H$446,3,FALSE),
IFERROR(IFERROR($B13*VLOOKUP($A13&amp;"|"&amp;VLOOKUP(Nutrients_from_current_land_use!$B$8,Value_look_up_tables!$A$491:$B$492,2,FALSE)&amp;"|"&amp;VLOOKUP(Nutrients_from_current_land_use!$B$7,Value_look_up_tables!$A$450:$C$472,3,FALSE)&amp;"|"&amp;VLOOKUP($B$6,Value_look_up_tables!$A$482:$B$487,2,FALSE),Value_look_up_tables!$F$91:$H$446,3,FALSE),IFERROR($B13*VLOOKUP($A13&amp;"|"&amp;"TRUE"&amp;"|"&amp;VLOOKUP(Nutrients_from_current_land_use!$B$7,Value_look_up_tables!$A$450:$C$472,3,FALSE)&amp;"|"&amp;VLOOKUP($B$6,Value_look_up_tables!$A$482:$B$487,2,FALSE),Value_look_up_tables!$F$91:$H$446,3,FALSE),$B13*VLOOKUP($A13&amp;"|"&amp;VLOOKUP(Nutrients_from_current_land_use!$B$8,Value_look_up_tables!$A$491:$B$492,2,FALSE)&amp;"|"&amp;VLOOKUP(Nutrients_from_current_land_use!$B$7,Value_look_up_tables!$A$450:$C$472,3,FALSE)&amp;"|"&amp;"DrainedArGr",Value_look_up_tables!$F$91:$H$446,3,FALSE))),IFERROR($B13*VLOOKUP($A13&amp;"|"&amp;VLOOKUP(Nutrients_from_current_land_use!$B$7,Value_look_up_tables!$A$450:$C$472,3,FALSE),Value_look_up_tables!$I$91:$K$438,3,FALSE),$B13*VLOOKUP($A13,Value_look_up_tables!$B$91:$M$438,12,FALSE)))))</f>
        <v/>
      </c>
      <c r="E13" s="5" t="str">
        <f>IF(OR(ISBLANK($A13),ISBLANK($B13),ISBLANK($B$6),ISBLANK($B$5),ISBLANK($B$7),$A13="Residential urban land",$A13="Commercial/industrial urban land",$A13="Open urban land",$A13="Greenspace",$A13="Community food growing",$A13="Woodland",$A13="Shrub",$A13="Water"),"",IF(ISNUMBER(IFERROR($B13*VLOOKUP((IF(OR($A13="Residential urban land",$A13="Commercial/industrial urban land",$A13="Open urban land",$A13="Greenspace",$A13="Community food growing",$A13="Woodland",$A13="Shrub",$A13="Water"),"|||"&amp;$A13,(VLOOKUP(Nutrients_from_current_land_use!$B$5,Value_look_up_tables!$A$476:$B$478,2,FALSE)&amp;"|"&amp;$A13&amp;"|"&amp;VLOOKUP(Nutrients_from_current_land_use!$B$8,Value_look_up_tables!$A$491:$B$492,2,FALSE)&amp;"|"&amp;VLOOKUP(Nutrients_from_current_land_use!$B$7, Value_look_up_tables!$A$450:$C$472,3,FALSE)&amp;"|"&amp;VLOOKUP($B$6,Value_look_up_tables!$A$482:$B$487,2,FALSE)))), Value_look_up_tables!$F$91:$H$446,3,FALSE),IFERROR($B13*VLOOKUP($A13&amp;"|"&amp;VLOOKUP(Nutrients_from_current_land_use!$B$8,Value_look_up_tables!$A$227:$B$228,2,FALSE)&amp;"|"&amp;VLOOKUP(Nutrients_from_current_land_use!$B$7,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4" spans="1:7" s="2" customFormat="1" ht="37.5" customHeight="1">
      <c r="A14" s="4"/>
      <c r="B14" s="19"/>
      <c r="C14" s="86"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B$8,Value_look_up_tables!$A$491:$B$492,2,FALSE)&amp;"|"&amp;VLOOKUP(Nutrients_from_current_land_use!$B$7,Value_look_up_tables!$A$450:$C$472,3,FALSE)&amp;"|"&amp;VLOOKUP($B$6,Value_look_up_tables!$A$482:$B$487,2,FALSE)))),Value_look_up_tables!$F$91:$H$446,2,FALSE),
IFERROR(IFERROR($B14*VLOOKUP($A14&amp;"|"&amp;VLOOKUP(Nutrients_from_current_land_use!$B$8,Value_look_up_tables!$A$491:$B$492,2,FALSE)&amp;"|"&amp;VLOOKUP(Nutrients_from_current_land_use!$B$7,Value_look_up_tables!$A$450:$C$472,3,FALSE)&amp;"|"&amp;VLOOKUP($B$6,Value_look_up_tables!$A$482:$B$487,2,FALSE),Value_look_up_tables!$F$91:$H$446,2,FALSE),IFERROR($B14*VLOOKUP($A14&amp;"|"&amp;"TRUE"&amp;"|"&amp;VLOOKUP(Nutrients_from_current_land_use!$B$7,Value_look_up_tables!$A$450:$C$472,3,FALSE)&amp;"|"&amp;VLOOKUP($B$6,Value_look_up_tables!$A$482:$B$487,2,FALSE),Value_look_up_tables!$F$91:$H$446,2,FALSE),$B14*VLOOKUP($A14&amp;"|"&amp;VLOOKUP(Nutrients_from_current_land_use!$B$8,Value_look_up_tables!$A$491:$B$492,2,FALSE)&amp;"|"&amp;VLOOKUP(Nutrients_from_current_land_use!$B$7,Value_look_up_tables!$A$450:$C$472,3,FALSE)&amp;"|"&amp;"DrainedArGr",Value_look_up_tables!$F$91:$H$446,2,FALSE))),IFERROR($B14*VLOOKUP($A14&amp;"|"&amp;VLOOKUP(Nutrients_from_current_land_use!$B$7,Value_look_up_tables!$A$450:$C$472,3,FALSE),Value_look_up_tables!$I$91:$K$438,2,FALSE),$B14*VLOOKUP($A14,Value_look_up_tables!$B$91:$M$438,11,FALSE)))))</f>
        <v/>
      </c>
      <c r="D14" s="86"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B$8,Value_look_up_tables!$A$491:$B$492,2,FALSE)&amp;"|"&amp;VLOOKUP(Nutrients_from_current_land_use!$B$7,Value_look_up_tables!$A$450:$C$472,3,FALSE)&amp;"|"&amp;VLOOKUP($B$6,Value_look_up_tables!$A$482:$B$487,2,FALSE)))),Value_look_up_tables!$F$91:$H$446,3,FALSE),
IFERROR(IFERROR($B14*VLOOKUP($A14&amp;"|"&amp;VLOOKUP(Nutrients_from_current_land_use!$B$8,Value_look_up_tables!$A$491:$B$492,2,FALSE)&amp;"|"&amp;VLOOKUP(Nutrients_from_current_land_use!$B$7,Value_look_up_tables!$A$450:$C$472,3,FALSE)&amp;"|"&amp;VLOOKUP($B$6,Value_look_up_tables!$A$482:$B$487,2,FALSE),Value_look_up_tables!$F$91:$H$446,3,FALSE),IFERROR($B14*VLOOKUP($A14&amp;"|"&amp;"TRUE"&amp;"|"&amp;VLOOKUP(Nutrients_from_current_land_use!$B$7,Value_look_up_tables!$A$450:$C$472,3,FALSE)&amp;"|"&amp;VLOOKUP($B$6,Value_look_up_tables!$A$482:$B$487,2,FALSE),Value_look_up_tables!$F$91:$H$446,3,FALSE),$B14*VLOOKUP($A14&amp;"|"&amp;VLOOKUP(Nutrients_from_current_land_use!$B$8,Value_look_up_tables!$A$491:$B$492,2,FALSE)&amp;"|"&amp;VLOOKUP(Nutrients_from_current_land_use!$B$7,Value_look_up_tables!$A$450:$C$472,3,FALSE)&amp;"|"&amp;"DrainedArGr",Value_look_up_tables!$F$91:$H$446,3,FALSE))),IFERROR($B14*VLOOKUP($A14&amp;"|"&amp;VLOOKUP(Nutrients_from_current_land_use!$B$7,Value_look_up_tables!$A$450:$C$472,3,FALSE),Value_look_up_tables!$I$91:$K$438,3,FALSE),$B14*VLOOKUP($A14,Value_look_up_tables!$B$91:$M$438,12,FALSE)))))</f>
        <v/>
      </c>
      <c r="E14" s="5" t="str">
        <f>IF(OR(ISBLANK($A14),ISBLANK($B14),ISBLANK($B$6),ISBLANK($B$5),ISBLANK($B$7),$A14="Residential urban land",$A14="Commercial/industrial urban land",$A14="Open urban land",$A14="Greenspace",$A14="Community food growing",$A14="Woodland",$A14="Shrub",$A14="Water"),"",IF(ISNUMBER(IFERROR($B14*VLOOKUP((IF(OR($A14="Residential urban land",$A14="Commercial/industrial urban land",$A14="Open urban land",$A14="Greenspace",$A14="Community food growing",$A14="Woodland",$A14="Shrub",$A14="Water"),"|||"&amp;$A14,(VLOOKUP(Nutrients_from_current_land_use!$B$5,Value_look_up_tables!$A$476:$B$478,2,FALSE)&amp;"|"&amp;$A14&amp;"|"&amp;VLOOKUP(Nutrients_from_current_land_use!$B$8,Value_look_up_tables!$A$491:$B$492,2,FALSE)&amp;"|"&amp;VLOOKUP(Nutrients_from_current_land_use!$B$7, Value_look_up_tables!$A$450:$C$472,3,FALSE)&amp;"|"&amp;VLOOKUP($B$6,Value_look_up_tables!$A$482:$B$487,2,FALSE)))), Value_look_up_tables!$F$91:$H$446,3,FALSE),IFERROR($B14*VLOOKUP($A14&amp;"|"&amp;VLOOKUP(Nutrients_from_current_land_use!$B$8,Value_look_up_tables!$A$227:$B$228,2,FALSE)&amp;"|"&amp;VLOOKUP(Nutrients_from_current_land_use!$B$7,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5" spans="1:7" s="2" customFormat="1" ht="37.5" customHeight="1">
      <c r="A15" s="4"/>
      <c r="B15" s="19"/>
      <c r="C15" s="86"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B$8,Value_look_up_tables!$A$491:$B$492,2,FALSE)&amp;"|"&amp;VLOOKUP(Nutrients_from_current_land_use!$B$7,Value_look_up_tables!$A$450:$C$472,3,FALSE)&amp;"|"&amp;VLOOKUP($B$6,Value_look_up_tables!$A$482:$B$487,2,FALSE)))),Value_look_up_tables!$F$91:$H$446,2,FALSE),
IFERROR(IFERROR($B15*VLOOKUP($A15&amp;"|"&amp;VLOOKUP(Nutrients_from_current_land_use!$B$8,Value_look_up_tables!$A$491:$B$492,2,FALSE)&amp;"|"&amp;VLOOKUP(Nutrients_from_current_land_use!$B$7,Value_look_up_tables!$A$450:$C$472,3,FALSE)&amp;"|"&amp;VLOOKUP($B$6,Value_look_up_tables!$A$482:$B$487,2,FALSE),Value_look_up_tables!$F$91:$H$446,2,FALSE),IFERROR($B15*VLOOKUP($A15&amp;"|"&amp;"TRUE"&amp;"|"&amp;VLOOKUP(Nutrients_from_current_land_use!$B$7,Value_look_up_tables!$A$450:$C$472,3,FALSE)&amp;"|"&amp;VLOOKUP($B$6,Value_look_up_tables!$A$482:$B$487,2,FALSE),Value_look_up_tables!$F$91:$H$446,2,FALSE),$B15*VLOOKUP($A15&amp;"|"&amp;VLOOKUP(Nutrients_from_current_land_use!$B$8,Value_look_up_tables!$A$491:$B$492,2,FALSE)&amp;"|"&amp;VLOOKUP(Nutrients_from_current_land_use!$B$7,Value_look_up_tables!$A$450:$C$472,3,FALSE)&amp;"|"&amp;"DrainedArGr",Value_look_up_tables!$F$91:$H$446,2,FALSE))),IFERROR($B15*VLOOKUP($A15&amp;"|"&amp;VLOOKUP(Nutrients_from_current_land_use!$B$7,Value_look_up_tables!$A$450:$C$472,3,FALSE),Value_look_up_tables!$I$91:$K$438,2,FALSE),$B15*VLOOKUP($A15,Value_look_up_tables!$B$91:$M$438,11,FALSE)))))</f>
        <v/>
      </c>
      <c r="D15" s="86"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B$8,Value_look_up_tables!$A$491:$B$492,2,FALSE)&amp;"|"&amp;VLOOKUP(Nutrients_from_current_land_use!$B$7,Value_look_up_tables!$A$450:$C$472,3,FALSE)&amp;"|"&amp;VLOOKUP($B$6,Value_look_up_tables!$A$482:$B$487,2,FALSE)))),Value_look_up_tables!$F$91:$H$446,3,FALSE),
IFERROR(IFERROR($B15*VLOOKUP($A15&amp;"|"&amp;VLOOKUP(Nutrients_from_current_land_use!$B$8,Value_look_up_tables!$A$491:$B$492,2,FALSE)&amp;"|"&amp;VLOOKUP(Nutrients_from_current_land_use!$B$7,Value_look_up_tables!$A$450:$C$472,3,FALSE)&amp;"|"&amp;VLOOKUP($B$6,Value_look_up_tables!$A$482:$B$487,2,FALSE),Value_look_up_tables!$F$91:$H$446,3,FALSE),IFERROR($B15*VLOOKUP($A15&amp;"|"&amp;"TRUE"&amp;"|"&amp;VLOOKUP(Nutrients_from_current_land_use!$B$7,Value_look_up_tables!$A$450:$C$472,3,FALSE)&amp;"|"&amp;VLOOKUP($B$6,Value_look_up_tables!$A$482:$B$487,2,FALSE),Value_look_up_tables!$F$91:$H$446,3,FALSE),$B15*VLOOKUP($A15&amp;"|"&amp;VLOOKUP(Nutrients_from_current_land_use!$B$8,Value_look_up_tables!$A$491:$B$492,2,FALSE)&amp;"|"&amp;VLOOKUP(Nutrients_from_current_land_use!$B$7,Value_look_up_tables!$A$450:$C$472,3,FALSE)&amp;"|"&amp;"DrainedArGr",Value_look_up_tables!$F$91:$H$446,3,FALSE))),IFERROR($B15*VLOOKUP($A15&amp;"|"&amp;VLOOKUP(Nutrients_from_current_land_use!$B$7,Value_look_up_tables!$A$450:$C$472,3,FALSE),Value_look_up_tables!$I$91:$K$438,3,FALSE),$B15*VLOOKUP($A15,Value_look_up_tables!$B$91:$M$438,12,FALSE)))))</f>
        <v/>
      </c>
      <c r="E15" s="5" t="str">
        <f>IF(OR(ISBLANK($A15),ISBLANK($B15),ISBLANK($B$6),ISBLANK($B$5),ISBLANK($B$7),$A15="Residential urban land",$A15="Commercial/industrial urban land",$A15="Open urban land",$A15="Greenspace",$A15="Community food growing",$A15="Woodland",$A15="Shrub",$A15="Water"),"",IF(ISNUMBER(IFERROR($B15*VLOOKUP((IF(OR($A15="Residential urban land",$A15="Commercial/industrial urban land",$A15="Open urban land",$A15="Greenspace",$A15="Community food growing",$A15="Woodland",$A15="Shrub",$A15="Water"),"|||"&amp;$A15,(VLOOKUP(Nutrients_from_current_land_use!$B$5,Value_look_up_tables!$A$476:$B$478,2,FALSE)&amp;"|"&amp;$A15&amp;"|"&amp;VLOOKUP(Nutrients_from_current_land_use!$B$8,Value_look_up_tables!$A$491:$B$492,2,FALSE)&amp;"|"&amp;VLOOKUP(Nutrients_from_current_land_use!$B$7, Value_look_up_tables!$A$450:$C$472,3,FALSE)&amp;"|"&amp;VLOOKUP($B$6,Value_look_up_tables!$A$482:$B$487,2,FALSE)))), Value_look_up_tables!$F$91:$H$446,3,FALSE),IFERROR($B15*VLOOKUP($A15&amp;"|"&amp;VLOOKUP(Nutrients_from_current_land_use!$B$8,Value_look_up_tables!$A$227:$B$228,2,FALSE)&amp;"|"&amp;VLOOKUP(Nutrients_from_current_land_use!$B$7,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6" spans="1:7" s="2" customFormat="1" ht="37.5" customHeight="1">
      <c r="A16" s="4"/>
      <c r="B16" s="19"/>
      <c r="C16" s="86"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B$8,Value_look_up_tables!$A$491:$B$492,2,FALSE)&amp;"|"&amp;VLOOKUP(Nutrients_from_current_land_use!$B$7,Value_look_up_tables!$A$450:$C$472,3,FALSE)&amp;"|"&amp;VLOOKUP($B$6,Value_look_up_tables!$A$482:$B$487,2,FALSE)))),Value_look_up_tables!$F$91:$H$446,2,FALSE),
IFERROR(IFERROR($B16*VLOOKUP($A16&amp;"|"&amp;VLOOKUP(Nutrients_from_current_land_use!$B$8,Value_look_up_tables!$A$491:$B$492,2,FALSE)&amp;"|"&amp;VLOOKUP(Nutrients_from_current_land_use!$B$7,Value_look_up_tables!$A$450:$C$472,3,FALSE)&amp;"|"&amp;VLOOKUP($B$6,Value_look_up_tables!$A$482:$B$487,2,FALSE),Value_look_up_tables!$F$91:$H$446,2,FALSE),IFERROR($B16*VLOOKUP($A16&amp;"|"&amp;"TRUE"&amp;"|"&amp;VLOOKUP(Nutrients_from_current_land_use!$B$7,Value_look_up_tables!$A$450:$C$472,3,FALSE)&amp;"|"&amp;VLOOKUP($B$6,Value_look_up_tables!$A$482:$B$487,2,FALSE),Value_look_up_tables!$F$91:$H$446,2,FALSE),$B16*VLOOKUP($A16&amp;"|"&amp;VLOOKUP(Nutrients_from_current_land_use!$B$8,Value_look_up_tables!$A$491:$B$492,2,FALSE)&amp;"|"&amp;VLOOKUP(Nutrients_from_current_land_use!$B$7,Value_look_up_tables!$A$450:$C$472,3,FALSE)&amp;"|"&amp;"DrainedArGr",Value_look_up_tables!$F$91:$H$446,2,FALSE))),IFERROR($B16*VLOOKUP($A16&amp;"|"&amp;VLOOKUP(Nutrients_from_current_land_use!$B$7,Value_look_up_tables!$A$450:$C$472,3,FALSE),Value_look_up_tables!$I$91:$K$438,2,FALSE),$B16*VLOOKUP($A16,Value_look_up_tables!$B$91:$M$438,11,FALSE)))))</f>
        <v/>
      </c>
      <c r="D16" s="86"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B$8,Value_look_up_tables!$A$491:$B$492,2,FALSE)&amp;"|"&amp;VLOOKUP(Nutrients_from_current_land_use!$B$7,Value_look_up_tables!$A$450:$C$472,3,FALSE)&amp;"|"&amp;VLOOKUP($B$6,Value_look_up_tables!$A$482:$B$487,2,FALSE)))),Value_look_up_tables!$F$91:$H$446,3,FALSE),
IFERROR(IFERROR($B16*VLOOKUP($A16&amp;"|"&amp;VLOOKUP(Nutrients_from_current_land_use!$B$8,Value_look_up_tables!$A$491:$B$492,2,FALSE)&amp;"|"&amp;VLOOKUP(Nutrients_from_current_land_use!$B$7,Value_look_up_tables!$A$450:$C$472,3,FALSE)&amp;"|"&amp;VLOOKUP($B$6,Value_look_up_tables!$A$482:$B$487,2,FALSE),Value_look_up_tables!$F$91:$H$446,3,FALSE),IFERROR($B16*VLOOKUP($A16&amp;"|"&amp;"TRUE"&amp;"|"&amp;VLOOKUP(Nutrients_from_current_land_use!$B$7,Value_look_up_tables!$A$450:$C$472,3,FALSE)&amp;"|"&amp;VLOOKUP($B$6,Value_look_up_tables!$A$482:$B$487,2,FALSE),Value_look_up_tables!$F$91:$H$446,3,FALSE),$B16*VLOOKUP($A16&amp;"|"&amp;VLOOKUP(Nutrients_from_current_land_use!$B$8,Value_look_up_tables!$A$491:$B$492,2,FALSE)&amp;"|"&amp;VLOOKUP(Nutrients_from_current_land_use!$B$7,Value_look_up_tables!$A$450:$C$472,3,FALSE)&amp;"|"&amp;"DrainedArGr",Value_look_up_tables!$F$91:$H$446,3,FALSE))),IFERROR($B16*VLOOKUP($A16&amp;"|"&amp;VLOOKUP(Nutrients_from_current_land_use!$B$7,Value_look_up_tables!$A$450:$C$472,3,FALSE),Value_look_up_tables!$I$91:$K$438,3,FALSE),$B16*VLOOKUP($A16,Value_look_up_tables!$B$91:$M$438,12,FALSE)))))</f>
        <v/>
      </c>
      <c r="E16" s="5" t="str">
        <f>IF(OR(ISBLANK($A16),ISBLANK($B16),ISBLANK($B$6),ISBLANK($B$5),ISBLANK($B$7),$A16="Residential urban land",$A16="Commercial/industrial urban land",$A16="Open urban land",$A16="Greenspace",$A16="Community food growing",$A16="Woodland",$A16="Shrub",$A16="Water"),"",IF(ISNUMBER(IFERROR($B16*VLOOKUP((IF(OR($A16="Residential urban land",$A16="Commercial/industrial urban land",$A16="Open urban land",$A16="Greenspace",$A16="Community food growing",$A16="Woodland",$A16="Shrub",$A16="Water"),"|||"&amp;$A16,(VLOOKUP(Nutrients_from_current_land_use!$B$5,Value_look_up_tables!$A$476:$B$478,2,FALSE)&amp;"|"&amp;$A16&amp;"|"&amp;VLOOKUP(Nutrients_from_current_land_use!$B$8,Value_look_up_tables!$A$491:$B$492,2,FALSE)&amp;"|"&amp;VLOOKUP(Nutrients_from_current_land_use!$B$7, Value_look_up_tables!$A$450:$C$472,3,FALSE)&amp;"|"&amp;VLOOKUP($B$6,Value_look_up_tables!$A$482:$B$487,2,FALSE)))), Value_look_up_tables!$F$91:$H$446,3,FALSE),IFERROR($B16*VLOOKUP($A16&amp;"|"&amp;VLOOKUP(Nutrients_from_current_land_use!$B$8,Value_look_up_tables!$A$227:$B$228,2,FALSE)&amp;"|"&amp;VLOOKUP(Nutrients_from_current_land_use!$B$7,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7" spans="1:7" s="2" customFormat="1" ht="37.5" customHeight="1">
      <c r="A17" s="4"/>
      <c r="B17" s="19"/>
      <c r="C17" s="86"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B$8,Value_look_up_tables!$A$491:$B$492,2,FALSE)&amp;"|"&amp;VLOOKUP(Nutrients_from_current_land_use!$B$7,Value_look_up_tables!$A$450:$C$472,3,FALSE)&amp;"|"&amp;VLOOKUP($B$6,Value_look_up_tables!$A$482:$B$487,2,FALSE)))),Value_look_up_tables!$F$91:$H$446,2,FALSE),
IFERROR(IFERROR($B17*VLOOKUP($A17&amp;"|"&amp;VLOOKUP(Nutrients_from_current_land_use!$B$8,Value_look_up_tables!$A$491:$B$492,2,FALSE)&amp;"|"&amp;VLOOKUP(Nutrients_from_current_land_use!$B$7,Value_look_up_tables!$A$450:$C$472,3,FALSE)&amp;"|"&amp;VLOOKUP($B$6,Value_look_up_tables!$A$482:$B$487,2,FALSE),Value_look_up_tables!$F$91:$H$446,2,FALSE),IFERROR($B17*VLOOKUP($A17&amp;"|"&amp;"TRUE"&amp;"|"&amp;VLOOKUP(Nutrients_from_current_land_use!$B$7,Value_look_up_tables!$A$450:$C$472,3,FALSE)&amp;"|"&amp;VLOOKUP($B$6,Value_look_up_tables!$A$482:$B$487,2,FALSE),Value_look_up_tables!$F$91:$H$446,2,FALSE),$B17*VLOOKUP($A17&amp;"|"&amp;VLOOKUP(Nutrients_from_current_land_use!$B$8,Value_look_up_tables!$A$491:$B$492,2,FALSE)&amp;"|"&amp;VLOOKUP(Nutrients_from_current_land_use!$B$7,Value_look_up_tables!$A$450:$C$472,3,FALSE)&amp;"|"&amp;"DrainedArGr",Value_look_up_tables!$F$91:$H$446,2,FALSE))),IFERROR($B17*VLOOKUP($A17&amp;"|"&amp;VLOOKUP(Nutrients_from_current_land_use!$B$7,Value_look_up_tables!$A$450:$C$472,3,FALSE),Value_look_up_tables!$I$91:$K$438,2,FALSE),$B17*VLOOKUP($A17,Value_look_up_tables!$B$91:$M$438,11,FALSE)))))</f>
        <v/>
      </c>
      <c r="D17" s="86"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B$8,Value_look_up_tables!$A$491:$B$492,2,FALSE)&amp;"|"&amp;VLOOKUP(Nutrients_from_current_land_use!$B$7,Value_look_up_tables!$A$450:$C$472,3,FALSE)&amp;"|"&amp;VLOOKUP($B$6,Value_look_up_tables!$A$482:$B$487,2,FALSE)))),Value_look_up_tables!$F$91:$H$446,3,FALSE),
IFERROR(IFERROR($B17*VLOOKUP($A17&amp;"|"&amp;VLOOKUP(Nutrients_from_current_land_use!$B$8,Value_look_up_tables!$A$491:$B$492,2,FALSE)&amp;"|"&amp;VLOOKUP(Nutrients_from_current_land_use!$B$7,Value_look_up_tables!$A$450:$C$472,3,FALSE)&amp;"|"&amp;VLOOKUP($B$6,Value_look_up_tables!$A$482:$B$487,2,FALSE),Value_look_up_tables!$F$91:$H$446,3,FALSE),IFERROR($B17*VLOOKUP($A17&amp;"|"&amp;"TRUE"&amp;"|"&amp;VLOOKUP(Nutrients_from_current_land_use!$B$7,Value_look_up_tables!$A$450:$C$472,3,FALSE)&amp;"|"&amp;VLOOKUP($B$6,Value_look_up_tables!$A$482:$B$487,2,FALSE),Value_look_up_tables!$F$91:$H$446,3,FALSE),$B17*VLOOKUP($A17&amp;"|"&amp;VLOOKUP(Nutrients_from_current_land_use!$B$8,Value_look_up_tables!$A$491:$B$492,2,FALSE)&amp;"|"&amp;VLOOKUP(Nutrients_from_current_land_use!$B$7,Value_look_up_tables!$A$450:$C$472,3,FALSE)&amp;"|"&amp;"DrainedArGr",Value_look_up_tables!$F$91:$H$446,3,FALSE))),IFERROR($B17*VLOOKUP($A17&amp;"|"&amp;VLOOKUP(Nutrients_from_current_land_use!$B$7,Value_look_up_tables!$A$450:$C$472,3,FALSE),Value_look_up_tables!$I$91:$K$438,3,FALSE),$B17*VLOOKUP($A17,Value_look_up_tables!$B$91:$M$438,12,FALSE)))))</f>
        <v/>
      </c>
      <c r="E17" s="5" t="str">
        <f>IF(OR(ISBLANK($A17),ISBLANK($B17),ISBLANK($B$6),ISBLANK($B$5),ISBLANK($B$7),$A17="Residential urban land",$A17="Commercial/industrial urban land",$A17="Open urban land",$A17="Greenspace",$A17="Community food growing",$A17="Woodland",$A17="Shrub",$A17="Water"),"",IF(ISNUMBER(IFERROR($B17*VLOOKUP((IF(OR($A17="Residential urban land",$A17="Commercial/industrial urban land",$A17="Open urban land",$A17="Greenspace",$A17="Community food growing",$A17="Woodland",$A17="Shrub",$A17="Water"),"|||"&amp;$A17,(VLOOKUP(Nutrients_from_current_land_use!$B$5,Value_look_up_tables!$A$476:$B$478,2,FALSE)&amp;"|"&amp;$A17&amp;"|"&amp;VLOOKUP(Nutrients_from_current_land_use!$B$8,Value_look_up_tables!$A$491:$B$492,2,FALSE)&amp;"|"&amp;VLOOKUP(Nutrients_from_current_land_use!$B$7, Value_look_up_tables!$A$450:$C$472,3,FALSE)&amp;"|"&amp;VLOOKUP($B$6,Value_look_up_tables!$A$482:$B$487,2,FALSE)))), Value_look_up_tables!$F$91:$H$446,3,FALSE),IFERROR($B17*VLOOKUP($A17&amp;"|"&amp;VLOOKUP(Nutrients_from_current_land_use!$B$8,Value_look_up_tables!$A$227:$B$228,2,FALSE)&amp;"|"&amp;VLOOKUP(Nutrients_from_current_land_use!$B$7,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8" spans="1:7" s="2" customFormat="1" ht="37.5" customHeight="1">
      <c r="A18" s="4"/>
      <c r="B18" s="19"/>
      <c r="C18" s="86"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B$8,Value_look_up_tables!$A$491:$B$492,2,FALSE)&amp;"|"&amp;VLOOKUP(Nutrients_from_current_land_use!$B$7,Value_look_up_tables!$A$450:$C$472,3,FALSE)&amp;"|"&amp;VLOOKUP($B$6,Value_look_up_tables!$A$482:$B$487,2,FALSE)))),Value_look_up_tables!$F$91:$H$446,2,FALSE),
IFERROR(IFERROR($B18*VLOOKUP($A18&amp;"|"&amp;VLOOKUP(Nutrients_from_current_land_use!$B$8,Value_look_up_tables!$A$491:$B$492,2,FALSE)&amp;"|"&amp;VLOOKUP(Nutrients_from_current_land_use!$B$7,Value_look_up_tables!$A$450:$C$472,3,FALSE)&amp;"|"&amp;VLOOKUP($B$6,Value_look_up_tables!$A$482:$B$487,2,FALSE),Value_look_up_tables!$F$91:$H$446,2,FALSE),IFERROR($B18*VLOOKUP($A18&amp;"|"&amp;"TRUE"&amp;"|"&amp;VLOOKUP(Nutrients_from_current_land_use!$B$7,Value_look_up_tables!$A$450:$C$472,3,FALSE)&amp;"|"&amp;VLOOKUP($B$6,Value_look_up_tables!$A$482:$B$487,2,FALSE),Value_look_up_tables!$F$91:$H$446,2,FALSE),$B18*VLOOKUP($A18&amp;"|"&amp;VLOOKUP(Nutrients_from_current_land_use!$B$8,Value_look_up_tables!$A$491:$B$492,2,FALSE)&amp;"|"&amp;VLOOKUP(Nutrients_from_current_land_use!$B$7,Value_look_up_tables!$A$450:$C$472,3,FALSE)&amp;"|"&amp;"DrainedArGr",Value_look_up_tables!$F$91:$H$446,2,FALSE))),IFERROR($B18*VLOOKUP($A18&amp;"|"&amp;VLOOKUP(Nutrients_from_current_land_use!$B$7,Value_look_up_tables!$A$450:$C$472,3,FALSE),Value_look_up_tables!$I$91:$K$438,2,FALSE),$B18*VLOOKUP($A18,Value_look_up_tables!$B$91:$M$438,11,FALSE)))))</f>
        <v/>
      </c>
      <c r="D18" s="86"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B$8,Value_look_up_tables!$A$491:$B$492,2,FALSE)&amp;"|"&amp;VLOOKUP(Nutrients_from_current_land_use!$B$7,Value_look_up_tables!$A$450:$C$472,3,FALSE)&amp;"|"&amp;VLOOKUP($B$6,Value_look_up_tables!$A$482:$B$487,2,FALSE)))),Value_look_up_tables!$F$91:$H$446,3,FALSE),
IFERROR(IFERROR($B18*VLOOKUP($A18&amp;"|"&amp;VLOOKUP(Nutrients_from_current_land_use!$B$8,Value_look_up_tables!$A$491:$B$492,2,FALSE)&amp;"|"&amp;VLOOKUP(Nutrients_from_current_land_use!$B$7,Value_look_up_tables!$A$450:$C$472,3,FALSE)&amp;"|"&amp;VLOOKUP($B$6,Value_look_up_tables!$A$482:$B$487,2,FALSE),Value_look_up_tables!$F$91:$H$446,3,FALSE),IFERROR($B18*VLOOKUP($A18&amp;"|"&amp;"TRUE"&amp;"|"&amp;VLOOKUP(Nutrients_from_current_land_use!$B$7,Value_look_up_tables!$A$450:$C$472,3,FALSE)&amp;"|"&amp;VLOOKUP($B$6,Value_look_up_tables!$A$482:$B$487,2,FALSE),Value_look_up_tables!$F$91:$H$446,3,FALSE),$B18*VLOOKUP($A18&amp;"|"&amp;VLOOKUP(Nutrients_from_current_land_use!$B$8,Value_look_up_tables!$A$491:$B$492,2,FALSE)&amp;"|"&amp;VLOOKUP(Nutrients_from_current_land_use!$B$7,Value_look_up_tables!$A$450:$C$472,3,FALSE)&amp;"|"&amp;"DrainedArGr",Value_look_up_tables!$F$91:$H$446,3,FALSE))),IFERROR($B18*VLOOKUP($A18&amp;"|"&amp;VLOOKUP(Nutrients_from_current_land_use!$B$7,Value_look_up_tables!$A$450:$C$472,3,FALSE),Value_look_up_tables!$I$91:$K$438,3,FALSE),$B18*VLOOKUP($A18,Value_look_up_tables!$B$91:$M$438,12,FALSE)))))</f>
        <v/>
      </c>
      <c r="E18" s="5" t="str">
        <f>IF(OR(ISBLANK($A18),ISBLANK($B18),ISBLANK($B$6),ISBLANK($B$5),ISBLANK($B$7),$A18="Residential urban land",$A18="Commercial/industrial urban land",$A18="Open urban land",$A18="Greenspace",$A18="Community food growing",$A18="Woodland",$A18="Shrub",$A18="Water"),"",IF(ISNUMBER(IFERROR($B18*VLOOKUP((IF(OR($A18="Residential urban land",$A18="Commercial/industrial urban land",$A18="Open urban land",$A18="Greenspace",$A18="Community food growing",$A18="Woodland",$A18="Shrub",$A18="Water"),"|||"&amp;$A18,(VLOOKUP(Nutrients_from_current_land_use!$B$5,Value_look_up_tables!$A$476:$B$478,2,FALSE)&amp;"|"&amp;$A18&amp;"|"&amp;VLOOKUP(Nutrients_from_current_land_use!$B$8,Value_look_up_tables!$A$491:$B$492,2,FALSE)&amp;"|"&amp;VLOOKUP(Nutrients_from_current_land_use!$B$7, Value_look_up_tables!$A$450:$C$472,3,FALSE)&amp;"|"&amp;VLOOKUP($B$6,Value_look_up_tables!$A$482:$B$487,2,FALSE)))), Value_look_up_tables!$F$91:$H$446,3,FALSE),IFERROR($B18*VLOOKUP($A18&amp;"|"&amp;VLOOKUP(Nutrients_from_current_land_use!$B$8,Value_look_up_tables!$A$227:$B$228,2,FALSE)&amp;"|"&amp;VLOOKUP(Nutrients_from_current_land_use!$B$7,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9" spans="1:7" s="2" customFormat="1" ht="37.5" customHeight="1">
      <c r="A19" s="4"/>
      <c r="B19" s="19"/>
      <c r="C19" s="86"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B$8,Value_look_up_tables!$A$491:$B$492,2,FALSE)&amp;"|"&amp;VLOOKUP(Nutrients_from_current_land_use!$B$7,Value_look_up_tables!$A$450:$C$472,3,FALSE)&amp;"|"&amp;VLOOKUP($B$6,Value_look_up_tables!$A$482:$B$487,2,FALSE)))),Value_look_up_tables!$F$91:$H$446,2,FALSE),
IFERROR(IFERROR($B19*VLOOKUP($A19&amp;"|"&amp;VLOOKUP(Nutrients_from_current_land_use!$B$8,Value_look_up_tables!$A$491:$B$492,2,FALSE)&amp;"|"&amp;VLOOKUP(Nutrients_from_current_land_use!$B$7,Value_look_up_tables!$A$450:$C$472,3,FALSE)&amp;"|"&amp;VLOOKUP($B$6,Value_look_up_tables!$A$482:$B$487,2,FALSE),Value_look_up_tables!$F$91:$H$446,2,FALSE),IFERROR($B19*VLOOKUP($A19&amp;"|"&amp;"TRUE"&amp;"|"&amp;VLOOKUP(Nutrients_from_current_land_use!$B$7,Value_look_up_tables!$A$450:$C$472,3,FALSE)&amp;"|"&amp;VLOOKUP($B$6,Value_look_up_tables!$A$482:$B$487,2,FALSE),Value_look_up_tables!$F$91:$H$446,2,FALSE),$B19*VLOOKUP($A19&amp;"|"&amp;VLOOKUP(Nutrients_from_current_land_use!$B$8,Value_look_up_tables!$A$491:$B$492,2,FALSE)&amp;"|"&amp;VLOOKUP(Nutrients_from_current_land_use!$B$7,Value_look_up_tables!$A$450:$C$472,3,FALSE)&amp;"|"&amp;"DrainedArGr",Value_look_up_tables!$F$91:$H$446,2,FALSE))),IFERROR($B19*VLOOKUP($A19&amp;"|"&amp;VLOOKUP(Nutrients_from_current_land_use!$B$7,Value_look_up_tables!$A$450:$C$472,3,FALSE),Value_look_up_tables!$I$91:$K$438,2,FALSE),$B19*VLOOKUP($A19,Value_look_up_tables!$B$91:$M$438,11,FALSE)))))</f>
        <v/>
      </c>
      <c r="D19" s="86"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B$8,Value_look_up_tables!$A$491:$B$492,2,FALSE)&amp;"|"&amp;VLOOKUP(Nutrients_from_current_land_use!$B$7,Value_look_up_tables!$A$450:$C$472,3,FALSE)&amp;"|"&amp;VLOOKUP($B$6,Value_look_up_tables!$A$482:$B$487,2,FALSE)))),Value_look_up_tables!$F$91:$H$446,3,FALSE),
IFERROR(IFERROR($B19*VLOOKUP($A19&amp;"|"&amp;VLOOKUP(Nutrients_from_current_land_use!$B$8,Value_look_up_tables!$A$491:$B$492,2,FALSE)&amp;"|"&amp;VLOOKUP(Nutrients_from_current_land_use!$B$7,Value_look_up_tables!$A$450:$C$472,3,FALSE)&amp;"|"&amp;VLOOKUP($B$6,Value_look_up_tables!$A$482:$B$487,2,FALSE),Value_look_up_tables!$F$91:$H$446,3,FALSE),IFERROR($B19*VLOOKUP($A19&amp;"|"&amp;"TRUE"&amp;"|"&amp;VLOOKUP(Nutrients_from_current_land_use!$B$7,Value_look_up_tables!$A$450:$C$472,3,FALSE)&amp;"|"&amp;VLOOKUP($B$6,Value_look_up_tables!$A$482:$B$487,2,FALSE),Value_look_up_tables!$F$91:$H$446,3,FALSE),$B19*VLOOKUP($A19&amp;"|"&amp;VLOOKUP(Nutrients_from_current_land_use!$B$8,Value_look_up_tables!$A$491:$B$492,2,FALSE)&amp;"|"&amp;VLOOKUP(Nutrients_from_current_land_use!$B$7,Value_look_up_tables!$A$450:$C$472,3,FALSE)&amp;"|"&amp;"DrainedArGr",Value_look_up_tables!$F$91:$H$446,3,FALSE))),IFERROR($B19*VLOOKUP($A19&amp;"|"&amp;VLOOKUP(Nutrients_from_current_land_use!$B$7,Value_look_up_tables!$A$450:$C$472,3,FALSE),Value_look_up_tables!$I$91:$K$438,3,FALSE),$B19*VLOOKUP($A19,Value_look_up_tables!$B$91:$M$438,12,FALSE)))))</f>
        <v/>
      </c>
      <c r="E19" s="5" t="str">
        <f>IF(OR(ISBLANK($A19),ISBLANK($B19),ISBLANK($B$6),ISBLANK($B$5),ISBLANK($B$7),$A19="Residential urban land",$A19="Commercial/industrial urban land",$A19="Open urban land",$A19="Greenspace",$A19="Community food growing",$A19="Woodland",$A19="Shrub",$A19="Water"),"",IF(ISNUMBER(IFERROR($B19*VLOOKUP((IF(OR($A19="Residential urban land",$A19="Commercial/industrial urban land",$A19="Open urban land",$A19="Greenspace",$A19="Community food growing",$A19="Woodland",$A19="Shrub",$A19="Water"),"|||"&amp;$A19,(VLOOKUP(Nutrients_from_current_land_use!$B$5,Value_look_up_tables!$A$476:$B$478,2,FALSE)&amp;"|"&amp;$A19&amp;"|"&amp;VLOOKUP(Nutrients_from_current_land_use!$B$8,Value_look_up_tables!$A$491:$B$492,2,FALSE)&amp;"|"&amp;VLOOKUP(Nutrients_from_current_land_use!$B$7, Value_look_up_tables!$A$450:$C$472,3,FALSE)&amp;"|"&amp;VLOOKUP($B$6,Value_look_up_tables!$A$482:$B$487,2,FALSE)))), Value_look_up_tables!$F$91:$H$446,3,FALSE),IFERROR($B19*VLOOKUP($A19&amp;"|"&amp;VLOOKUP(Nutrients_from_current_land_use!$B$8,Value_look_up_tables!$A$227:$B$228,2,FALSE)&amp;"|"&amp;VLOOKUP(Nutrients_from_current_land_use!$B$7,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0" spans="1:7" s="2" customFormat="1" ht="37.5" customHeight="1">
      <c r="A20" s="4"/>
      <c r="B20" s="19"/>
      <c r="C20" s="86"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B$8,Value_look_up_tables!$A$491:$B$492,2,FALSE)&amp;"|"&amp;VLOOKUP(Nutrients_from_current_land_use!$B$7,Value_look_up_tables!$A$450:$C$472,3,FALSE)&amp;"|"&amp;VLOOKUP($B$6,Value_look_up_tables!$A$482:$B$487,2,FALSE)))),Value_look_up_tables!$F$91:$H$446,2,FALSE),
IFERROR(IFERROR($B20*VLOOKUP($A20&amp;"|"&amp;VLOOKUP(Nutrients_from_current_land_use!$B$8,Value_look_up_tables!$A$491:$B$492,2,FALSE)&amp;"|"&amp;VLOOKUP(Nutrients_from_current_land_use!$B$7,Value_look_up_tables!$A$450:$C$472,3,FALSE)&amp;"|"&amp;VLOOKUP($B$6,Value_look_up_tables!$A$482:$B$487,2,FALSE),Value_look_up_tables!$F$91:$H$446,2,FALSE),IFERROR($B20*VLOOKUP($A20&amp;"|"&amp;"TRUE"&amp;"|"&amp;VLOOKUP(Nutrients_from_current_land_use!$B$7,Value_look_up_tables!$A$450:$C$472,3,FALSE)&amp;"|"&amp;VLOOKUP($B$6,Value_look_up_tables!$A$482:$B$487,2,FALSE),Value_look_up_tables!$F$91:$H$446,2,FALSE),$B20*VLOOKUP($A20&amp;"|"&amp;VLOOKUP(Nutrients_from_current_land_use!$B$8,Value_look_up_tables!$A$491:$B$492,2,FALSE)&amp;"|"&amp;VLOOKUP(Nutrients_from_current_land_use!$B$7,Value_look_up_tables!$A$450:$C$472,3,FALSE)&amp;"|"&amp;"DrainedArGr",Value_look_up_tables!$F$91:$H$446,2,FALSE))),IFERROR($B20*VLOOKUP($A20&amp;"|"&amp;VLOOKUP(Nutrients_from_current_land_use!$B$7,Value_look_up_tables!$A$450:$C$472,3,FALSE),Value_look_up_tables!$I$91:$K$438,2,FALSE),$B20*VLOOKUP($A20,Value_look_up_tables!$B$91:$M$438,11,FALSE)))))</f>
        <v/>
      </c>
      <c r="D20" s="86"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B$8,Value_look_up_tables!$A$491:$B$492,2,FALSE)&amp;"|"&amp;VLOOKUP(Nutrients_from_current_land_use!$B$7,Value_look_up_tables!$A$450:$C$472,3,FALSE)&amp;"|"&amp;VLOOKUP($B$6,Value_look_up_tables!$A$482:$B$487,2,FALSE)))),Value_look_up_tables!$F$91:$H$446,3,FALSE),
IFERROR(IFERROR($B20*VLOOKUP($A20&amp;"|"&amp;VLOOKUP(Nutrients_from_current_land_use!$B$8,Value_look_up_tables!$A$491:$B$492,2,FALSE)&amp;"|"&amp;VLOOKUP(Nutrients_from_current_land_use!$B$7,Value_look_up_tables!$A$450:$C$472,3,FALSE)&amp;"|"&amp;VLOOKUP($B$6,Value_look_up_tables!$A$482:$B$487,2,FALSE),Value_look_up_tables!$F$91:$H$446,3,FALSE),IFERROR($B20*VLOOKUP($A20&amp;"|"&amp;"TRUE"&amp;"|"&amp;VLOOKUP(Nutrients_from_current_land_use!$B$7,Value_look_up_tables!$A$450:$C$472,3,FALSE)&amp;"|"&amp;VLOOKUP($B$6,Value_look_up_tables!$A$482:$B$487,2,FALSE),Value_look_up_tables!$F$91:$H$446,3,FALSE),$B20*VLOOKUP($A20&amp;"|"&amp;VLOOKUP(Nutrients_from_current_land_use!$B$8,Value_look_up_tables!$A$491:$B$492,2,FALSE)&amp;"|"&amp;VLOOKUP(Nutrients_from_current_land_use!$B$7,Value_look_up_tables!$A$450:$C$472,3,FALSE)&amp;"|"&amp;"DrainedArGr",Value_look_up_tables!$F$91:$H$446,3,FALSE))),IFERROR($B20*VLOOKUP($A20&amp;"|"&amp;VLOOKUP(Nutrients_from_current_land_use!$B$7,Value_look_up_tables!$A$450:$C$472,3,FALSE),Value_look_up_tables!$I$91:$K$438,3,FALSE),$B20*VLOOKUP($A20,Value_look_up_tables!$B$91:$M$438,12,FALSE)))))</f>
        <v/>
      </c>
      <c r="E20" s="5" t="str">
        <f>IF(OR(ISBLANK($A20),ISBLANK($B20),ISBLANK($B$6),ISBLANK($B$5),ISBLANK($B$7),$A20="Residential urban land",$A20="Commercial/industrial urban land",$A20="Open urban land",$A20="Greenspace",$A20="Community food growing",$A20="Woodland",$A20="Shrub",$A20="Water"),"",IF(ISNUMBER(IFERROR($B20*VLOOKUP((IF(OR($A20="Residential urban land",$A20="Commercial/industrial urban land",$A20="Open urban land",$A20="Greenspace",$A20="Community food growing",$A20="Woodland",$A20="Shrub",$A20="Water"),"|||"&amp;$A20,(VLOOKUP(Nutrients_from_current_land_use!$B$5,Value_look_up_tables!$A$476:$B$478,2,FALSE)&amp;"|"&amp;$A20&amp;"|"&amp;VLOOKUP(Nutrients_from_current_land_use!$B$8,Value_look_up_tables!$A$491:$B$492,2,FALSE)&amp;"|"&amp;VLOOKUP(Nutrients_from_current_land_use!$B$7, Value_look_up_tables!$A$450:$C$472,3,FALSE)&amp;"|"&amp;VLOOKUP($B$6,Value_look_up_tables!$A$482:$B$487,2,FALSE)))), Value_look_up_tables!$F$91:$H$446,3,FALSE),IFERROR($B20*VLOOKUP($A20&amp;"|"&amp;VLOOKUP(Nutrients_from_current_land_use!$B$8,Value_look_up_tables!$A$227:$B$228,2,FALSE)&amp;"|"&amp;VLOOKUP(Nutrients_from_current_land_use!$B$7,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1" spans="1:7" s="2" customFormat="1" ht="37.5" customHeight="1">
      <c r="A21" s="4"/>
      <c r="B21" s="19"/>
      <c r="C21" s="86"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B$8,Value_look_up_tables!$A$491:$B$492,2,FALSE)&amp;"|"&amp;VLOOKUP(Nutrients_from_current_land_use!$B$7,Value_look_up_tables!$A$450:$C$472,3,FALSE)&amp;"|"&amp;VLOOKUP($B$6,Value_look_up_tables!$A$482:$B$487,2,FALSE)))),Value_look_up_tables!$F$91:$H$446,2,FALSE),
IFERROR(IFERROR($B21*VLOOKUP($A21&amp;"|"&amp;VLOOKUP(Nutrients_from_current_land_use!$B$8,Value_look_up_tables!$A$491:$B$492,2,FALSE)&amp;"|"&amp;VLOOKUP(Nutrients_from_current_land_use!$B$7,Value_look_up_tables!$A$450:$C$472,3,FALSE)&amp;"|"&amp;VLOOKUP($B$6,Value_look_up_tables!$A$482:$B$487,2,FALSE),Value_look_up_tables!$F$91:$H$446,2,FALSE),IFERROR($B21*VLOOKUP($A21&amp;"|"&amp;"TRUE"&amp;"|"&amp;VLOOKUP(Nutrients_from_current_land_use!$B$7,Value_look_up_tables!$A$450:$C$472,3,FALSE)&amp;"|"&amp;VLOOKUP($B$6,Value_look_up_tables!$A$482:$B$487,2,FALSE),Value_look_up_tables!$F$91:$H$446,2,FALSE),$B21*VLOOKUP($A21&amp;"|"&amp;VLOOKUP(Nutrients_from_current_land_use!$B$8,Value_look_up_tables!$A$491:$B$492,2,FALSE)&amp;"|"&amp;VLOOKUP(Nutrients_from_current_land_use!$B$7,Value_look_up_tables!$A$450:$C$472,3,FALSE)&amp;"|"&amp;"DrainedArGr",Value_look_up_tables!$F$91:$H$446,2,FALSE))),IFERROR($B21*VLOOKUP($A21&amp;"|"&amp;VLOOKUP(Nutrients_from_current_land_use!$B$7,Value_look_up_tables!$A$450:$C$472,3,FALSE),Value_look_up_tables!$I$91:$K$438,2,FALSE),$B21*VLOOKUP($A21,Value_look_up_tables!$B$91:$M$438,11,FALSE)))))</f>
        <v/>
      </c>
      <c r="D21" s="86"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B$8,Value_look_up_tables!$A$491:$B$492,2,FALSE)&amp;"|"&amp;VLOOKUP(Nutrients_from_current_land_use!$B$7,Value_look_up_tables!$A$450:$C$472,3,FALSE)&amp;"|"&amp;VLOOKUP($B$6,Value_look_up_tables!$A$482:$B$487,2,FALSE)))),Value_look_up_tables!$F$91:$H$446,3,FALSE),
IFERROR(IFERROR($B21*VLOOKUP($A21&amp;"|"&amp;VLOOKUP(Nutrients_from_current_land_use!$B$8,Value_look_up_tables!$A$491:$B$492,2,FALSE)&amp;"|"&amp;VLOOKUP(Nutrients_from_current_land_use!$B$7,Value_look_up_tables!$A$450:$C$472,3,FALSE)&amp;"|"&amp;VLOOKUP($B$6,Value_look_up_tables!$A$482:$B$487,2,FALSE),Value_look_up_tables!$F$91:$H$446,3,FALSE),IFERROR($B21*VLOOKUP($A21&amp;"|"&amp;"TRUE"&amp;"|"&amp;VLOOKUP(Nutrients_from_current_land_use!$B$7,Value_look_up_tables!$A$450:$C$472,3,FALSE)&amp;"|"&amp;VLOOKUP($B$6,Value_look_up_tables!$A$482:$B$487,2,FALSE),Value_look_up_tables!$F$91:$H$446,3,FALSE),$B21*VLOOKUP($A21&amp;"|"&amp;VLOOKUP(Nutrients_from_current_land_use!$B$8,Value_look_up_tables!$A$491:$B$492,2,FALSE)&amp;"|"&amp;VLOOKUP(Nutrients_from_current_land_use!$B$7,Value_look_up_tables!$A$450:$C$472,3,FALSE)&amp;"|"&amp;"DrainedArGr",Value_look_up_tables!$F$91:$H$446,3,FALSE))),IFERROR($B21*VLOOKUP($A21&amp;"|"&amp;VLOOKUP(Nutrients_from_current_land_use!$B$7,Value_look_up_tables!$A$450:$C$472,3,FALSE),Value_look_up_tables!$I$91:$K$438,3,FALSE),$B21*VLOOKUP($A21,Value_look_up_tables!$B$91:$M$438,12,FALSE)))))</f>
        <v/>
      </c>
      <c r="E21" s="5" t="str">
        <f>IF(OR(ISBLANK($A21),ISBLANK($B21),ISBLANK($B$6),ISBLANK($B$5),ISBLANK($B$7),$A21="Residential urban land",$A21="Commercial/industrial urban land",$A21="Open urban land",$A21="Greenspace",$A21="Community food growing",$A21="Woodland",$A21="Shrub",$A21="Water"),"",IF(ISNUMBER(IFERROR($B21*VLOOKUP((IF(OR($A21="Residential urban land",$A21="Commercial/industrial urban land",$A21="Open urban land",$A21="Greenspace",$A21="Community food growing",$A21="Woodland",$A21="Shrub",$A21="Water"),"|||"&amp;$A21,(VLOOKUP(Nutrients_from_current_land_use!$B$5,Value_look_up_tables!$A$476:$B$478,2,FALSE)&amp;"|"&amp;$A21&amp;"|"&amp;VLOOKUP(Nutrients_from_current_land_use!$B$8,Value_look_up_tables!$A$491:$B$492,2,FALSE)&amp;"|"&amp;VLOOKUP(Nutrients_from_current_land_use!$B$7, Value_look_up_tables!$A$450:$C$472,3,FALSE)&amp;"|"&amp;VLOOKUP($B$6,Value_look_up_tables!$A$482:$B$487,2,FALSE)))), Value_look_up_tables!$F$91:$H$446,3,FALSE),IFERROR($B21*VLOOKUP($A21&amp;"|"&amp;VLOOKUP(Nutrients_from_current_land_use!$B$8,Value_look_up_tables!$A$227:$B$228,2,FALSE)&amp;"|"&amp;VLOOKUP(Nutrients_from_current_land_use!$B$7,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2" spans="1:7" s="2" customFormat="1" ht="37.5" customHeight="1">
      <c r="A22" s="4"/>
      <c r="B22" s="19"/>
      <c r="C22" s="86"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$478:$B$478,2,FALSE)&amp;"|"&amp;$A22&amp;"|"&amp;VLOOKUP(Nutrients_from_current_land_use!$B$8,Value_look_up_tables!$A$491:$B$492,2,FALSE)&amp;"|"&amp;VLOOKUP(Nutrients_from_current_land_use!$B$7,Value_look_up_tables!$A$450:$C$472,3,FALSE)&amp;"|"&amp;VLOOKUP($B$6,Value_look_up_tables!$A$482:$B$487,2,FALSE)))),Value_look_up_tables!$F$91:$H$446,2,FALSE),
IFERROR(IFERROR($B22*VLOOKUP($A22&amp;"|"&amp;VLOOKUP(Nutrients_from_current_land_use!$B$8,Value_look_up_tables!$A$491:$B$492,2,FALSE)&amp;"|"&amp;VLOOKUP(Nutrients_from_current_land_use!$B$7,Value_look_up_tables!$A$450:$C$472,3,FALSE)&amp;"|"&amp;VLOOKUP($B$6,Value_look_up_tables!$A$482:$B$487,2,FALSE),Value_look_up_tables!$F$91:$H$446,2,FALSE),IFERROR($B22*VLOOKUP($A22&amp;"|"&amp;"TRUE"&amp;"|"&amp;VLOOKUP(Nutrients_from_current_land_use!$B$7,Value_look_up_tables!$A$450:$C$472,3,FALSE)&amp;"|"&amp;VLOOKUP($B$6,Value_look_up_tables!$A$482:$B$487,2,FALSE),Value_look_up_tables!$F$91:$H$446,2,FALSE),$B22*VLOOKUP($A22&amp;"|"&amp;VLOOKUP(Nutrients_from_current_land_use!$B$8,Value_look_up_tables!$A$491:$B$492,2,FALSE)&amp;"|"&amp;VLOOKUP(Nutrients_from_current_land_use!$B$7,Value_look_up_tables!$A$450:$C$472,3,FALSE)&amp;"|"&amp;"DrainedArGr",Value_look_up_tables!$F$91:$H$446,2,FALSE))),IFERROR($B22*VLOOKUP($A22&amp;"|"&amp;VLOOKUP(Nutrients_from_current_land_use!$B$7,Value_look_up_tables!$A$450:$C$472,3,FALSE),Value_look_up_tables!$I$91:$K$438,2,FALSE),$B22*VLOOKUP($A22,Value_look_up_tables!$B$91:$M$438,11,FALSE)))))</f>
        <v/>
      </c>
      <c r="D22" s="86"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$478:$B$478,2,FALSE)&amp;"|"&amp;$A22&amp;"|"&amp;VLOOKUP(Nutrients_from_current_land_use!$B$8,Value_look_up_tables!$A$491:$B$492,2,FALSE)&amp;"|"&amp;VLOOKUP(Nutrients_from_current_land_use!$B$7,Value_look_up_tables!$A$450:$C$472,3,FALSE)&amp;"|"&amp;VLOOKUP($B$6,Value_look_up_tables!$A$482:$B$487,2,FALSE)))),Value_look_up_tables!$F$91:$H$446,3,FALSE),
IFERROR(IFERROR($B22*VLOOKUP($A22&amp;"|"&amp;VLOOKUP(Nutrients_from_current_land_use!$B$8,Value_look_up_tables!$A$491:$B$492,2,FALSE)&amp;"|"&amp;VLOOKUP(Nutrients_from_current_land_use!$B$7,Value_look_up_tables!$A$450:$C$472,3,FALSE)&amp;"|"&amp;VLOOKUP($B$6,Value_look_up_tables!$A$482:$B$487,2,FALSE),Value_look_up_tables!$F$91:$H$446,3,FALSE),IFERROR($B22*VLOOKUP($A22&amp;"|"&amp;"TRUE"&amp;"|"&amp;VLOOKUP(Nutrients_from_current_land_use!$B$7,Value_look_up_tables!$A$450:$C$472,3,FALSE)&amp;"|"&amp;VLOOKUP($B$6,Value_look_up_tables!$A$482:$B$487,2,FALSE),Value_look_up_tables!$F$91:$H$446,3,FALSE),$B22*VLOOKUP($A22&amp;"|"&amp;VLOOKUP(Nutrients_from_current_land_use!$B$8,Value_look_up_tables!$A$491:$B$492,2,FALSE)&amp;"|"&amp;VLOOKUP(Nutrients_from_current_land_use!$B$7,Value_look_up_tables!$A$450:$C$472,3,FALSE)&amp;"|"&amp;"DrainedArGr",Value_look_up_tables!$F$91:$H$446,3,FALSE))),IFERROR($B22*VLOOKUP($A22&amp;"|"&amp;VLOOKUP(Nutrients_from_current_land_use!$B$7,Value_look_up_tables!$A$450:$C$472,3,FALSE),Value_look_up_tables!$I$91:$K$438,3,FALSE),$B22*VLOOKUP($A22,Value_look_up_tables!$B$91:$M$438,12,FALSE)))))</f>
        <v/>
      </c>
      <c r="E22" s="5" t="str">
        <f>IF(OR(ISBLANK($A22),ISBLANK($B22),ISBLANK($B$6),ISBLANK($B$5),ISBLANK($B$7),$A22="Residential urban land",$A22="Commercial/industrial urban land",$A22="Open urban land",$A22="Greenspace",$A22="Community food growing",$A22="Woodland",$A22="Shrub",$A22="Water"),"",IF(ISNUMBER(IFERROR($B22*VLOOKUP((IF(OR($A22="Residential urban land",$A22="Commercial/industrial urban land",$A22="Open urban land",$A22="Greenspace",$A22="Community food growing",$A22="Woodland",$A22="Shrub",$A22="Water"),"|||"&amp;$A22,(VLOOKUP(Nutrients_from_current_land_use!$B$5,Value_look_up_tables!$A$476:$B$478,2,FALSE)&amp;"|"&amp;$A22&amp;"|"&amp;VLOOKUP(Nutrients_from_current_land_use!$B$8,Value_look_up_tables!$A$491:$B$492,2,FALSE)&amp;"|"&amp;VLOOKUP(Nutrients_from_current_land_use!$B$7, Value_look_up_tables!$A$450:$C$472,3,FALSE)&amp;"|"&amp;VLOOKUP($B$6,Value_look_up_tables!$A$482:$B$487,2,FALSE)))), Value_look_up_tables!$F$91:$H$446,3,FALSE),IFERROR($B22*VLOOKUP($A22&amp;"|"&amp;VLOOKUP(Nutrients_from_current_land_use!$B$8,Value_look_up_tables!$A$227:$B$228,2,FALSE)&amp;"|"&amp;VLOOKUP(Nutrients_from_current_land_use!$B$7,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c r="G22" s="109"/>
    </row>
    <row r="23" spans="1:7" s="2" customFormat="1" ht="37.5" customHeight="1">
      <c r="A23" s="4"/>
      <c r="B23" s="19"/>
      <c r="C23" s="86"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$478:$B$478,2,FALSE)&amp;"|"&amp;$A23&amp;"|"&amp;VLOOKUP(Nutrients_from_current_land_use!$B$8,Value_look_up_tables!$A$491:$B$492,2,FALSE)&amp;"|"&amp;VLOOKUP(Nutrients_from_current_land_use!$B$7,Value_look_up_tables!$A$450:$C$472,3,FALSE)&amp;"|"&amp;VLOOKUP($B$6,Value_look_up_tables!$A$482:$B$487,2,FALSE)))),Value_look_up_tables!$F$91:$H$446,2,FALSE),
IFERROR(IFERROR($B23*VLOOKUP($A23&amp;"|"&amp;VLOOKUP(Nutrients_from_current_land_use!$B$8,Value_look_up_tables!$A$491:$B$492,2,FALSE)&amp;"|"&amp;VLOOKUP(Nutrients_from_current_land_use!$B$7,Value_look_up_tables!$A$450:$C$472,3,FALSE)&amp;"|"&amp;VLOOKUP($B$6,Value_look_up_tables!$A$482:$B$487,2,FALSE),Value_look_up_tables!$F$91:$H$446,2,FALSE),IFERROR($B23*VLOOKUP($A23&amp;"|"&amp;"TRUE"&amp;"|"&amp;VLOOKUP(Nutrients_from_current_land_use!$B$7,Value_look_up_tables!$A$450:$C$472,3,FALSE)&amp;"|"&amp;VLOOKUP($B$6,Value_look_up_tables!$A$482:$B$487,2,FALSE),Value_look_up_tables!$F$91:$H$446,2,FALSE),$B23*VLOOKUP($A23&amp;"|"&amp;VLOOKUP(Nutrients_from_current_land_use!$B$8,Value_look_up_tables!$A$491:$B$492,2,FALSE)&amp;"|"&amp;VLOOKUP(Nutrients_from_current_land_use!$B$7,Value_look_up_tables!$A$450:$C$472,3,FALSE)&amp;"|"&amp;"DrainedArGr",Value_look_up_tables!$F$91:$H$446,2,FALSE))),IFERROR($B23*VLOOKUP($A23&amp;"|"&amp;VLOOKUP(Nutrients_from_current_land_use!$B$7,Value_look_up_tables!$A$450:$C$472,3,FALSE),Value_look_up_tables!$I$91:$K$438,2,FALSE),$B23*VLOOKUP($A23,Value_look_up_tables!$B$91:$M$438,11,FALSE)))))</f>
        <v/>
      </c>
      <c r="D23" s="86"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$478:$B$478,2,FALSE)&amp;"|"&amp;$A23&amp;"|"&amp;VLOOKUP(Nutrients_from_current_land_use!$B$8,Value_look_up_tables!$A$491:$B$492,2,FALSE)&amp;"|"&amp;VLOOKUP(Nutrients_from_current_land_use!$B$7,Value_look_up_tables!$A$450:$C$472,3,FALSE)&amp;"|"&amp;VLOOKUP($B$6,Value_look_up_tables!$A$482:$B$487,2,FALSE)))),Value_look_up_tables!$F$91:$H$446,3,FALSE),
IFERROR(IFERROR($B23*VLOOKUP($A23&amp;"|"&amp;VLOOKUP(Nutrients_from_current_land_use!$B$8,Value_look_up_tables!$A$491:$B$492,2,FALSE)&amp;"|"&amp;VLOOKUP(Nutrients_from_current_land_use!$B$7,Value_look_up_tables!$A$450:$C$472,3,FALSE)&amp;"|"&amp;VLOOKUP($B$6,Value_look_up_tables!$A$482:$B$487,2,FALSE),Value_look_up_tables!$F$91:$H$446,3,FALSE),IFERROR($B23*VLOOKUP($A23&amp;"|"&amp;"TRUE"&amp;"|"&amp;VLOOKUP(Nutrients_from_current_land_use!$B$7,Value_look_up_tables!$A$450:$C$472,3,FALSE)&amp;"|"&amp;VLOOKUP($B$6,Value_look_up_tables!$A$482:$B$487,2,FALSE),Value_look_up_tables!$F$91:$H$446,3,FALSE),$B23*VLOOKUP($A23&amp;"|"&amp;VLOOKUP(Nutrients_from_current_land_use!$B$8,Value_look_up_tables!$A$491:$B$492,2,FALSE)&amp;"|"&amp;VLOOKUP(Nutrients_from_current_land_use!$B$7,Value_look_up_tables!$A$450:$C$472,3,FALSE)&amp;"|"&amp;"DrainedArGr",Value_look_up_tables!$F$91:$H$446,3,FALSE))),IFERROR($B23*VLOOKUP($A23&amp;"|"&amp;VLOOKUP(Nutrients_from_current_land_use!$B$7,Value_look_up_tables!$A$450:$C$472,3,FALSE),Value_look_up_tables!$I$91:$K$438,3,FALSE),$B23*VLOOKUP($A23,Value_look_up_tables!$B$91:$M$438,12,FALSE)))))</f>
        <v/>
      </c>
      <c r="E23" s="5" t="str">
        <f>IF(OR(ISBLANK($A23),ISBLANK($B23),ISBLANK($B$6),ISBLANK($B$5),ISBLANK($B$7),$A23="Residential urban land",$A23="Commercial/industrial urban land",$A23="Open urban land",$A23="Greenspace",$A23="Community food growing",$A23="Woodland",$A23="Shrub",$A23="Water"),"",IF(ISNUMBER(IFERROR($B23*VLOOKUP((IF(OR($A23="Residential urban land",$A23="Commercial/industrial urban land",$A23="Open urban land",$A23="Greenspace",$A23="Community food growing",$A23="Woodland",$A23="Shrub",$A23="Water"),"|||"&amp;$A23,(VLOOKUP(Nutrients_from_current_land_use!$B$5,Value_look_up_tables!$A$476:$B$478,2,FALSE)&amp;"|"&amp;$A23&amp;"|"&amp;VLOOKUP(Nutrients_from_current_land_use!$B$8,Value_look_up_tables!$A$491:$B$492,2,FALSE)&amp;"|"&amp;VLOOKUP(Nutrients_from_current_land_use!$B$7, Value_look_up_tables!$A$450:$C$472,3,FALSE)&amp;"|"&amp;VLOOKUP($B$6,Value_look_up_tables!$A$482:$B$487,2,FALSE)))), Value_look_up_tables!$F$91:$H$446,3,FALSE),IFERROR($B23*VLOOKUP($A23&amp;"|"&amp;VLOOKUP(Nutrients_from_current_land_use!$B$8,Value_look_up_tables!$A$227:$B$228,2,FALSE)&amp;"|"&amp;VLOOKUP(Nutrients_from_current_land_use!$B$7,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4" spans="1:7" s="2" customFormat="1" ht="37.5" customHeight="1">
      <c r="A24" s="4"/>
      <c r="B24" s="19"/>
      <c r="C24" s="86"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$478:$B$478,2,FALSE)&amp;"|"&amp;$A24&amp;"|"&amp;VLOOKUP(Nutrients_from_current_land_use!$B$8,Value_look_up_tables!$A$491:$B$492,2,FALSE)&amp;"|"&amp;VLOOKUP(Nutrients_from_current_land_use!$B$7,Value_look_up_tables!$A$450:$C$472,3,FALSE)&amp;"|"&amp;VLOOKUP($B$6,Value_look_up_tables!$A$482:$B$487,2,FALSE)))),Value_look_up_tables!$F$91:$H$446,2,FALSE),
IFERROR(IFERROR($B24*VLOOKUP($A24&amp;"|"&amp;VLOOKUP(Nutrients_from_current_land_use!$B$8,Value_look_up_tables!$A$491:$B$492,2,FALSE)&amp;"|"&amp;VLOOKUP(Nutrients_from_current_land_use!$B$7,Value_look_up_tables!$A$450:$C$472,3,FALSE)&amp;"|"&amp;VLOOKUP($B$6,Value_look_up_tables!$A$482:$B$487,2,FALSE),Value_look_up_tables!$F$91:$H$446,2,FALSE),IFERROR($B24*VLOOKUP($A24&amp;"|"&amp;"TRUE"&amp;"|"&amp;VLOOKUP(Nutrients_from_current_land_use!$B$7,Value_look_up_tables!$A$450:$C$472,3,FALSE)&amp;"|"&amp;VLOOKUP($B$6,Value_look_up_tables!$A$482:$B$487,2,FALSE),Value_look_up_tables!$F$91:$H$446,2,FALSE),$B24*VLOOKUP($A24&amp;"|"&amp;VLOOKUP(Nutrients_from_current_land_use!$B$8,Value_look_up_tables!$A$491:$B$492,2,FALSE)&amp;"|"&amp;VLOOKUP(Nutrients_from_current_land_use!$B$7,Value_look_up_tables!$A$450:$C$472,3,FALSE)&amp;"|"&amp;"DrainedArGr",Value_look_up_tables!$F$91:$H$446,2,FALSE))),IFERROR($B24*VLOOKUP($A24&amp;"|"&amp;VLOOKUP(Nutrients_from_current_land_use!$B$7,Value_look_up_tables!$A$450:$C$472,3,FALSE),Value_look_up_tables!$I$91:$K$438,2,FALSE),$B24*VLOOKUP($A24,Value_look_up_tables!$B$91:$M$438,11,FALSE)))))</f>
        <v/>
      </c>
      <c r="D24" s="86"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$478:$B$478,2,FALSE)&amp;"|"&amp;$A24&amp;"|"&amp;VLOOKUP(Nutrients_from_current_land_use!$B$8,Value_look_up_tables!$A$491:$B$492,2,FALSE)&amp;"|"&amp;VLOOKUP(Nutrients_from_current_land_use!$B$7,Value_look_up_tables!$A$450:$C$472,3,FALSE)&amp;"|"&amp;VLOOKUP($B$6,Value_look_up_tables!$A$482:$B$487,2,FALSE)))),Value_look_up_tables!$F$91:$H$446,3,FALSE),
IFERROR(IFERROR($B24*VLOOKUP($A24&amp;"|"&amp;VLOOKUP(Nutrients_from_current_land_use!$B$8,Value_look_up_tables!$A$491:$B$492,2,FALSE)&amp;"|"&amp;VLOOKUP(Nutrients_from_current_land_use!$B$7,Value_look_up_tables!$A$450:$C$472,3,FALSE)&amp;"|"&amp;VLOOKUP($B$6,Value_look_up_tables!$A$482:$B$487,2,FALSE),Value_look_up_tables!$F$91:$H$446,3,FALSE),IFERROR($B24*VLOOKUP($A24&amp;"|"&amp;"TRUE"&amp;"|"&amp;VLOOKUP(Nutrients_from_current_land_use!$B$7,Value_look_up_tables!$A$450:$C$472,3,FALSE)&amp;"|"&amp;VLOOKUP($B$6,Value_look_up_tables!$A$482:$B$487,2,FALSE),Value_look_up_tables!$F$91:$H$446,3,FALSE),$B24*VLOOKUP($A24&amp;"|"&amp;VLOOKUP(Nutrients_from_current_land_use!$B$8,Value_look_up_tables!$A$491:$B$492,2,FALSE)&amp;"|"&amp;VLOOKUP(Nutrients_from_current_land_use!$B$7,Value_look_up_tables!$A$450:$C$472,3,FALSE)&amp;"|"&amp;"DrainedArGr",Value_look_up_tables!$F$91:$H$446,3,FALSE))),IFERROR($B24*VLOOKUP($A24&amp;"|"&amp;VLOOKUP(Nutrients_from_current_land_use!$B$7,Value_look_up_tables!$A$450:$C$472,3,FALSE),Value_look_up_tables!$I$91:$K$438,3,FALSE),$B24*VLOOKUP($A24,Value_look_up_tables!$B$91:$M$438,12,FALSE)))))</f>
        <v/>
      </c>
      <c r="E24" s="5" t="str">
        <f>IF(OR(ISBLANK($A24),ISBLANK($B24),ISBLANK($B$6),ISBLANK($B$5),ISBLANK($B$7),$A24="Residential urban land",$A24="Commercial/industrial urban land",$A24="Open urban land",$A24="Greenspace",$A24="Community food growing",$A24="Woodland",$A24="Shrub",$A24="Water"),"",IF(ISNUMBER(IFERROR($B24*VLOOKUP((IF(OR($A24="Residential urban land",$A24="Commercial/industrial urban land",$A24="Open urban land",$A24="Greenspace",$A24="Community food growing",$A24="Woodland",$A24="Shrub",$A24="Water"),"|||"&amp;$A24,(VLOOKUP(Nutrients_from_current_land_use!$B$5,Value_look_up_tables!$A$476:$B$478,2,FALSE)&amp;"|"&amp;$A24&amp;"|"&amp;VLOOKUP(Nutrients_from_current_land_use!$B$8,Value_look_up_tables!$A$491:$B$492,2,FALSE)&amp;"|"&amp;VLOOKUP(Nutrients_from_current_land_use!$B$7, Value_look_up_tables!$A$450:$C$472,3,FALSE)&amp;"|"&amp;VLOOKUP($B$6,Value_look_up_tables!$A$482:$B$487,2,FALSE)))), Value_look_up_tables!$F$91:$H$446,3,FALSE),IFERROR($B24*VLOOKUP($A24&amp;"|"&amp;VLOOKUP(Nutrients_from_current_land_use!$B$8,Value_look_up_tables!$A$227:$B$228,2,FALSE)&amp;"|"&amp;VLOOKUP(Nutrients_from_current_land_use!$B$7,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5" spans="1:7" s="2" customFormat="1" ht="37.5" customHeight="1">
      <c r="A25" s="4"/>
      <c r="B25" s="19"/>
      <c r="C25" s="86"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$478:$B$478,2,FALSE)&amp;"|"&amp;$A25&amp;"|"&amp;VLOOKUP(Nutrients_from_current_land_use!$B$8,Value_look_up_tables!$A$491:$B$492,2,FALSE)&amp;"|"&amp;VLOOKUP(Nutrients_from_current_land_use!$B$7,Value_look_up_tables!$A$450:$C$472,3,FALSE)&amp;"|"&amp;VLOOKUP($B$6,Value_look_up_tables!$A$482:$B$487,2,FALSE)))),Value_look_up_tables!$F$91:$H$446,2,FALSE),
IFERROR(IFERROR($B25*VLOOKUP($A25&amp;"|"&amp;VLOOKUP(Nutrients_from_current_land_use!$B$8,Value_look_up_tables!$A$491:$B$492,2,FALSE)&amp;"|"&amp;VLOOKUP(Nutrients_from_current_land_use!$B$7,Value_look_up_tables!$A$450:$C$472,3,FALSE)&amp;"|"&amp;VLOOKUP($B$6,Value_look_up_tables!$A$482:$B$487,2,FALSE),Value_look_up_tables!$F$91:$H$446,2,FALSE),IFERROR($B25*VLOOKUP($A25&amp;"|"&amp;"TRUE"&amp;"|"&amp;VLOOKUP(Nutrients_from_current_land_use!$B$7,Value_look_up_tables!$A$450:$C$472,3,FALSE)&amp;"|"&amp;VLOOKUP($B$6,Value_look_up_tables!$A$482:$B$487,2,FALSE),Value_look_up_tables!$F$91:$H$446,2,FALSE),$B25*VLOOKUP($A25&amp;"|"&amp;VLOOKUP(Nutrients_from_current_land_use!$B$8,Value_look_up_tables!$A$491:$B$492,2,FALSE)&amp;"|"&amp;VLOOKUP(Nutrients_from_current_land_use!$B$7,Value_look_up_tables!$A$450:$C$472,3,FALSE)&amp;"|"&amp;"DrainedArGr",Value_look_up_tables!$F$91:$H$446,2,FALSE))),IFERROR($B25*VLOOKUP($A25&amp;"|"&amp;VLOOKUP(Nutrients_from_current_land_use!$B$7,Value_look_up_tables!$A$450:$C$472,3,FALSE),Value_look_up_tables!$I$91:$K$438,2,FALSE),$B25*VLOOKUP($A25,Value_look_up_tables!$B$91:$M$438,11,FALSE)))))</f>
        <v/>
      </c>
      <c r="D25" s="86"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$478:$B$478,2,FALSE)&amp;"|"&amp;$A25&amp;"|"&amp;VLOOKUP(Nutrients_from_current_land_use!$B$8,Value_look_up_tables!$A$491:$B$492,2,FALSE)&amp;"|"&amp;VLOOKUP(Nutrients_from_current_land_use!$B$7,Value_look_up_tables!$A$450:$C$472,3,FALSE)&amp;"|"&amp;VLOOKUP($B$6,Value_look_up_tables!$A$482:$B$487,2,FALSE)))),Value_look_up_tables!$F$91:$H$446,3,FALSE),
IFERROR(IFERROR($B25*VLOOKUP($A25&amp;"|"&amp;VLOOKUP(Nutrients_from_current_land_use!$B$8,Value_look_up_tables!$A$491:$B$492,2,FALSE)&amp;"|"&amp;VLOOKUP(Nutrients_from_current_land_use!$B$7,Value_look_up_tables!$A$450:$C$472,3,FALSE)&amp;"|"&amp;VLOOKUP($B$6,Value_look_up_tables!$A$482:$B$487,2,FALSE),Value_look_up_tables!$F$91:$H$446,3,FALSE),IFERROR($B25*VLOOKUP($A25&amp;"|"&amp;"TRUE"&amp;"|"&amp;VLOOKUP(Nutrients_from_current_land_use!$B$7,Value_look_up_tables!$A$450:$C$472,3,FALSE)&amp;"|"&amp;VLOOKUP($B$6,Value_look_up_tables!$A$482:$B$487,2,FALSE),Value_look_up_tables!$F$91:$H$446,3,FALSE),$B25*VLOOKUP($A25&amp;"|"&amp;VLOOKUP(Nutrients_from_current_land_use!$B$8,Value_look_up_tables!$A$491:$B$492,2,FALSE)&amp;"|"&amp;VLOOKUP(Nutrients_from_current_land_use!$B$7,Value_look_up_tables!$A$450:$C$472,3,FALSE)&amp;"|"&amp;"DrainedArGr",Value_look_up_tables!$F$91:$H$446,3,FALSE))),IFERROR($B25*VLOOKUP($A25&amp;"|"&amp;VLOOKUP(Nutrients_from_current_land_use!$B$7,Value_look_up_tables!$A$450:$C$472,3,FALSE),Value_look_up_tables!$I$91:$K$438,3,FALSE),$B25*VLOOKUP($A25,Value_look_up_tables!$B$91:$M$438,12,FALSE)))))</f>
        <v/>
      </c>
      <c r="E25" s="5" t="str">
        <f>IF(OR(ISBLANK($A25),ISBLANK($B25),ISBLANK($B$6),ISBLANK($B$5),ISBLANK($B$7),$A25="Residential urban land",$A25="Commercial/industrial urban land",$A25="Open urban land",$A25="Greenspace",$A25="Community food growing",$A25="Woodland",$A25="Shrub",$A25="Water"),"",IF(ISNUMBER(IFERROR($B25*VLOOKUP((IF(OR($A25="Residential urban land",$A25="Commercial/industrial urban land",$A25="Open urban land",$A25="Greenspace",$A25="Community food growing",$A25="Woodland",$A25="Shrub",$A25="Water"),"|||"&amp;$A25,(VLOOKUP(Nutrients_from_current_land_use!$B$5,Value_look_up_tables!$A$476:$B$478,2,FALSE)&amp;"|"&amp;$A25&amp;"|"&amp;VLOOKUP(Nutrients_from_current_land_use!$B$8,Value_look_up_tables!$A$491:$B$492,2,FALSE)&amp;"|"&amp;VLOOKUP(Nutrients_from_current_land_use!$B$7, Value_look_up_tables!$A$450:$C$472,3,FALSE)&amp;"|"&amp;VLOOKUP($B$6,Value_look_up_tables!$A$482:$B$487,2,FALSE)))), Value_look_up_tables!$F$91:$H$446,3,FALSE),IFERROR($B25*VLOOKUP($A25&amp;"|"&amp;VLOOKUP(Nutrients_from_current_land_use!$B$8,Value_look_up_tables!$A$227:$B$228,2,FALSE)&amp;"|"&amp;VLOOKUP(Nutrients_from_current_land_use!$B$7,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6" spans="1:7" s="2" customFormat="1" ht="37.5" customHeight="1">
      <c r="A26" s="4"/>
      <c r="B26" s="19"/>
      <c r="C26" s="86"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$478:$B$478,2,FALSE)&amp;"|"&amp;$A26&amp;"|"&amp;VLOOKUP(Nutrients_from_current_land_use!$B$8,Value_look_up_tables!$A$491:$B$492,2,FALSE)&amp;"|"&amp;VLOOKUP(Nutrients_from_current_land_use!$B$7,Value_look_up_tables!$A$450:$C$472,3,FALSE)&amp;"|"&amp;VLOOKUP($B$6,Value_look_up_tables!$A$482:$B$487,2,FALSE)))),Value_look_up_tables!$F$91:$H$446,2,FALSE),
IFERROR(IFERROR($B26*VLOOKUP($A26&amp;"|"&amp;VLOOKUP(Nutrients_from_current_land_use!$B$8,Value_look_up_tables!$A$491:$B$492,2,FALSE)&amp;"|"&amp;VLOOKUP(Nutrients_from_current_land_use!$B$7,Value_look_up_tables!$A$450:$C$472,3,FALSE)&amp;"|"&amp;VLOOKUP($B$6,Value_look_up_tables!$A$482:$B$487,2,FALSE),Value_look_up_tables!$F$91:$H$446,2,FALSE),IFERROR($B26*VLOOKUP($A26&amp;"|"&amp;"TRUE"&amp;"|"&amp;VLOOKUP(Nutrients_from_current_land_use!$B$7,Value_look_up_tables!$A$450:$C$472,3,FALSE)&amp;"|"&amp;VLOOKUP($B$6,Value_look_up_tables!$A$482:$B$487,2,FALSE),Value_look_up_tables!$F$91:$H$446,2,FALSE),$B26*VLOOKUP($A26&amp;"|"&amp;VLOOKUP(Nutrients_from_current_land_use!$B$8,Value_look_up_tables!$A$491:$B$492,2,FALSE)&amp;"|"&amp;VLOOKUP(Nutrients_from_current_land_use!$B$7,Value_look_up_tables!$A$450:$C$472,3,FALSE)&amp;"|"&amp;"DrainedArGr",Value_look_up_tables!$F$91:$H$446,2,FALSE))),IFERROR($B26*VLOOKUP($A26&amp;"|"&amp;VLOOKUP(Nutrients_from_current_land_use!$B$7,Value_look_up_tables!$A$450:$C$472,3,FALSE),Value_look_up_tables!$I$91:$K$438,2,FALSE),$B26*VLOOKUP($A26,Value_look_up_tables!$B$91:$M$438,11,FALSE)))))</f>
        <v/>
      </c>
      <c r="D26" s="86"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$478:$B$478,2,FALSE)&amp;"|"&amp;$A26&amp;"|"&amp;VLOOKUP(Nutrients_from_current_land_use!$B$8,Value_look_up_tables!$A$491:$B$492,2,FALSE)&amp;"|"&amp;VLOOKUP(Nutrients_from_current_land_use!$B$7,Value_look_up_tables!$A$450:$C$472,3,FALSE)&amp;"|"&amp;VLOOKUP($B$6,Value_look_up_tables!$A$482:$B$487,2,FALSE)))),Value_look_up_tables!$F$91:$H$446,3,FALSE),
IFERROR(IFERROR($B26*VLOOKUP($A26&amp;"|"&amp;VLOOKUP(Nutrients_from_current_land_use!$B$8,Value_look_up_tables!$A$491:$B$492,2,FALSE)&amp;"|"&amp;VLOOKUP(Nutrients_from_current_land_use!$B$7,Value_look_up_tables!$A$450:$C$472,3,FALSE)&amp;"|"&amp;VLOOKUP($B$6,Value_look_up_tables!$A$482:$B$487,2,FALSE),Value_look_up_tables!$F$91:$H$446,3,FALSE),IFERROR($B26*VLOOKUP($A26&amp;"|"&amp;"TRUE"&amp;"|"&amp;VLOOKUP(Nutrients_from_current_land_use!$B$7,Value_look_up_tables!$A$450:$C$472,3,FALSE)&amp;"|"&amp;VLOOKUP($B$6,Value_look_up_tables!$A$482:$B$487,2,FALSE),Value_look_up_tables!$F$91:$H$446,3,FALSE),$B26*VLOOKUP($A26&amp;"|"&amp;VLOOKUP(Nutrients_from_current_land_use!$B$8,Value_look_up_tables!$A$491:$B$492,2,FALSE)&amp;"|"&amp;VLOOKUP(Nutrients_from_current_land_use!$B$7,Value_look_up_tables!$A$450:$C$472,3,FALSE)&amp;"|"&amp;"DrainedArGr",Value_look_up_tables!$F$91:$H$446,3,FALSE))),IFERROR($B26*VLOOKUP($A26&amp;"|"&amp;VLOOKUP(Nutrients_from_current_land_use!$B$7,Value_look_up_tables!$A$450:$C$472,3,FALSE),Value_look_up_tables!$I$91:$K$438,3,FALSE),$B26*VLOOKUP($A26,Value_look_up_tables!$B$91:$M$438,12,FALSE)))))</f>
        <v/>
      </c>
      <c r="E26" s="5" t="str">
        <f>IF(OR(ISBLANK($A26),ISBLANK($B26),ISBLANK($B$6),ISBLANK($B$5),ISBLANK($B$7),$A26="Residential urban land",$A26="Commercial/industrial urban land",$A26="Open urban land",$A26="Greenspace",$A26="Community food growing",$A26="Woodland",$A26="Shrub",$A26="Water"),"",IF(ISNUMBER(IFERROR($B26*VLOOKUP((IF(OR($A26="Residential urban land",$A26="Commercial/industrial urban land",$A26="Open urban land",$A26="Greenspace",$A26="Community food growing",$A26="Woodland",$A26="Shrub",$A26="Water"),"|||"&amp;$A26,(VLOOKUP(Nutrients_from_current_land_use!$B$5,Value_look_up_tables!$A$476:$B$478,2,FALSE)&amp;"|"&amp;$A26&amp;"|"&amp;VLOOKUP(Nutrients_from_current_land_use!$B$8,Value_look_up_tables!$A$491:$B$492,2,FALSE)&amp;"|"&amp;VLOOKUP(Nutrients_from_current_land_use!$B$7, Value_look_up_tables!$A$450:$C$472,3,FALSE)&amp;"|"&amp;VLOOKUP($B$6,Value_look_up_tables!$A$482:$B$487,2,FALSE)))), Value_look_up_tables!$F$91:$H$446,3,FALSE),IFERROR($B26*VLOOKUP($A26&amp;"|"&amp;VLOOKUP(Nutrients_from_current_land_use!$B$8,Value_look_up_tables!$A$227:$B$228,2,FALSE)&amp;"|"&amp;VLOOKUP(Nutrients_from_current_land_use!$B$7,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7" spans="1:7" s="2" customFormat="1" ht="37.5" customHeight="1">
      <c r="A27" s="4"/>
      <c r="B27" s="19"/>
      <c r="C27" s="86"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$478:$B$478,2,FALSE)&amp;"|"&amp;$A27&amp;"|"&amp;VLOOKUP(Nutrients_from_current_land_use!$B$8,Value_look_up_tables!$A$491:$B$492,2,FALSE)&amp;"|"&amp;VLOOKUP(Nutrients_from_current_land_use!$B$7,Value_look_up_tables!$A$450:$C$472,3,FALSE)&amp;"|"&amp;VLOOKUP($B$6,Value_look_up_tables!$A$482:$B$487,2,FALSE)))),Value_look_up_tables!$F$91:$H$446,2,FALSE),
IFERROR(IFERROR($B27*VLOOKUP($A27&amp;"|"&amp;VLOOKUP(Nutrients_from_current_land_use!$B$8,Value_look_up_tables!$A$491:$B$492,2,FALSE)&amp;"|"&amp;VLOOKUP(Nutrients_from_current_land_use!$B$7,Value_look_up_tables!$A$450:$C$472,3,FALSE)&amp;"|"&amp;VLOOKUP($B$6,Value_look_up_tables!$A$482:$B$487,2,FALSE),Value_look_up_tables!$F$91:$H$446,2,FALSE),IFERROR($B27*VLOOKUP($A27&amp;"|"&amp;"TRUE"&amp;"|"&amp;VLOOKUP(Nutrients_from_current_land_use!$B$7,Value_look_up_tables!$A$450:$C$472,3,FALSE)&amp;"|"&amp;VLOOKUP($B$6,Value_look_up_tables!$A$482:$B$487,2,FALSE),Value_look_up_tables!$F$91:$H$446,2,FALSE),$B27*VLOOKUP($A27&amp;"|"&amp;VLOOKUP(Nutrients_from_current_land_use!$B$8,Value_look_up_tables!$A$491:$B$492,2,FALSE)&amp;"|"&amp;VLOOKUP(Nutrients_from_current_land_use!$B$7,Value_look_up_tables!$A$450:$C$472,3,FALSE)&amp;"|"&amp;"DrainedArGr",Value_look_up_tables!$F$91:$H$446,2,FALSE))),IFERROR($B27*VLOOKUP($A27&amp;"|"&amp;VLOOKUP(Nutrients_from_current_land_use!$B$7,Value_look_up_tables!$A$450:$C$472,3,FALSE),Value_look_up_tables!$I$91:$K$438,2,FALSE),$B27*VLOOKUP($A27,Value_look_up_tables!$B$91:$M$438,11,FALSE)))))</f>
        <v/>
      </c>
      <c r="D27" s="86"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$478:$B$478,2,FALSE)&amp;"|"&amp;$A27&amp;"|"&amp;VLOOKUP(Nutrients_from_current_land_use!$B$8,Value_look_up_tables!$A$491:$B$492,2,FALSE)&amp;"|"&amp;VLOOKUP(Nutrients_from_current_land_use!$B$7,Value_look_up_tables!$A$450:$C$472,3,FALSE)&amp;"|"&amp;VLOOKUP($B$6,Value_look_up_tables!$A$482:$B$487,2,FALSE)))),Value_look_up_tables!$F$91:$H$446,3,FALSE),
IFERROR(IFERROR($B27*VLOOKUP($A27&amp;"|"&amp;VLOOKUP(Nutrients_from_current_land_use!$B$8,Value_look_up_tables!$A$491:$B$492,2,FALSE)&amp;"|"&amp;VLOOKUP(Nutrients_from_current_land_use!$B$7,Value_look_up_tables!$A$450:$C$472,3,FALSE)&amp;"|"&amp;VLOOKUP($B$6,Value_look_up_tables!$A$482:$B$487,2,FALSE),Value_look_up_tables!$F$91:$H$446,3,FALSE),IFERROR($B27*VLOOKUP($A27&amp;"|"&amp;"TRUE"&amp;"|"&amp;VLOOKUP(Nutrients_from_current_land_use!$B$7,Value_look_up_tables!$A$450:$C$472,3,FALSE)&amp;"|"&amp;VLOOKUP($B$6,Value_look_up_tables!$A$482:$B$487,2,FALSE),Value_look_up_tables!$F$91:$H$446,3,FALSE),$B27*VLOOKUP($A27&amp;"|"&amp;VLOOKUP(Nutrients_from_current_land_use!$B$8,Value_look_up_tables!$A$491:$B$492,2,FALSE)&amp;"|"&amp;VLOOKUP(Nutrients_from_current_land_use!$B$7,Value_look_up_tables!$A$450:$C$472,3,FALSE)&amp;"|"&amp;"DrainedArGr",Value_look_up_tables!$F$91:$H$446,3,FALSE))),IFERROR($B27*VLOOKUP($A27&amp;"|"&amp;VLOOKUP(Nutrients_from_current_land_use!$B$7,Value_look_up_tables!$A$450:$C$472,3,FALSE),Value_look_up_tables!$I$91:$K$438,3,FALSE),$B27*VLOOKUP($A27,Value_look_up_tables!$B$91:$M$438,12,FALSE)))))</f>
        <v/>
      </c>
      <c r="E27" s="5" t="str">
        <f>IF(OR(ISBLANK($A27),ISBLANK($B27),ISBLANK($B$6),ISBLANK($B$5),ISBLANK($B$7),$A27="Residential urban land",$A27="Commercial/industrial urban land",$A27="Open urban land",$A27="Greenspace",$A27="Community food growing",$A27="Woodland",$A27="Shrub",$A27="Water"),"",IF(ISNUMBER(IFERROR($B27*VLOOKUP((IF(OR($A27="Residential urban land",$A27="Commercial/industrial urban land",$A27="Open urban land",$A27="Greenspace",$A27="Community food growing",$A27="Woodland",$A27="Shrub",$A27="Water"),"|||"&amp;$A27,(VLOOKUP(Nutrients_from_current_land_use!$B$5,Value_look_up_tables!$A$476:$B$478,2,FALSE)&amp;"|"&amp;$A27&amp;"|"&amp;VLOOKUP(Nutrients_from_current_land_use!$B$8,Value_look_up_tables!$A$491:$B$492,2,FALSE)&amp;"|"&amp;VLOOKUP(Nutrients_from_current_land_use!$B$7, Value_look_up_tables!$A$450:$C$472,3,FALSE)&amp;"|"&amp;VLOOKUP($B$6,Value_look_up_tables!$A$482:$B$487,2,FALSE)))), Value_look_up_tables!$F$91:$H$446,3,FALSE),IFERROR($B27*VLOOKUP($A27&amp;"|"&amp;VLOOKUP(Nutrients_from_current_land_use!$B$8,Value_look_up_tables!$A$227:$B$228,2,FALSE)&amp;"|"&amp;VLOOKUP(Nutrients_from_current_land_use!$B$7,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8" spans="1:7" s="2" customFormat="1" ht="24" customHeight="1">
      <c r="A28" s="44" t="s">
        <v>97</v>
      </c>
      <c r="B28" s="20">
        <f>SUM(B11:B27)</f>
        <v>0</v>
      </c>
      <c r="C28" s="21">
        <f>SUM(C11:C27)</f>
        <v>0</v>
      </c>
      <c r="D28" s="21">
        <f>SUM(D11:D27)</f>
        <v>0</v>
      </c>
      <c r="E28" s="25"/>
    </row>
    <row r="30" spans="1:7" ht="15">
      <c r="G30" s="26"/>
    </row>
  </sheetData>
  <sheetProtection algorithmName="SHA-512" hashValue="oSpzLG6Okr8roSoz28db2yv7IFzFPIFC67fqX5tvdZisbyq5aTXMV14dtO06DUz/qrNXGC26nlnzi9HGWMNRNg==" saltValue="exINDFiYQWuz9sGmwF44H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96"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Value_look_up_tables!$A$476:$A$478</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Value_look_up_tables!$A$454:$A$468</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Value_look_up_tables!$A$491:$A$492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Value_look_up_tables!$A$482:$A$487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Value_look_up_tables!$A$516:$A$531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election activeCell="A2" sqref="A2"/>
    </sheetView>
  </sheetViews>
  <sheetFormatPr defaultColWidth="9.140625" defaultRowHeight="14.25"/>
  <cols>
    <col min="1" max="1" width="85.140625" style="38" customWidth="1"/>
    <col min="2" max="2" width="40.5703125" style="38" customWidth="1"/>
    <col min="3" max="3" width="24.7109375" style="38" customWidth="1"/>
    <col min="4" max="4" width="24.5703125" style="38" customWidth="1"/>
    <col min="5" max="474" width="8.5703125" style="38" customWidth="1"/>
    <col min="475" max="16384" width="9.140625" style="38"/>
  </cols>
  <sheetData>
    <row r="1" spans="1:4" ht="30">
      <c r="A1" s="14" t="s">
        <v>15</v>
      </c>
      <c r="B1" s="37"/>
      <c r="C1" s="37"/>
      <c r="D1" s="37"/>
    </row>
    <row r="2" spans="1:4" s="110" customFormat="1" ht="246.95" customHeight="1">
      <c r="A2" s="33" t="s">
        <v>98</v>
      </c>
      <c r="B2" s="22"/>
      <c r="C2" s="55"/>
      <c r="D2" s="55"/>
    </row>
    <row r="3" spans="1:4" ht="69.95" customHeight="1">
      <c r="A3" s="23" t="s">
        <v>99</v>
      </c>
      <c r="B3" s="39"/>
      <c r="C3" s="39"/>
      <c r="D3" s="39"/>
    </row>
    <row r="4" spans="1:4" s="110" customFormat="1" ht="54" customHeight="1">
      <c r="A4" s="34" t="s">
        <v>100</v>
      </c>
      <c r="B4" s="34" t="s">
        <v>93</v>
      </c>
      <c r="C4" s="34" t="s">
        <v>101</v>
      </c>
      <c r="D4" s="34" t="s">
        <v>102</v>
      </c>
    </row>
    <row r="5" spans="1:4" s="110" customFormat="1" ht="23.25" customHeight="1">
      <c r="A5" s="35"/>
      <c r="B5" s="19"/>
      <c r="C5" s="42" t="str">
        <f>IF(OR(ISBLANK(A5),ISBLANK(B5)),"",B5*VLOOKUP((IF(OR(A5="Residential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5" s="42" t="str">
        <f>IF(OR(ISBLANK(A5),ISBLANK(B5)),"",B5*VLOOKUP((IF(OR(A5="Residential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6" spans="1:4" s="110" customFormat="1" ht="23.25" customHeight="1">
      <c r="A6" s="1"/>
      <c r="B6" s="18"/>
      <c r="C6" s="40" t="str">
        <f>IF(OR(ISBLANK(A6),ISBLANK(B6)),"",B6*VLOOKUP((IF(OR(A6="Residential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6" s="40" t="str">
        <f>IF(OR(ISBLANK(A6),ISBLANK(B6)),"",B6*VLOOKUP((IF(OR(A6="Residential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7" spans="1:4" s="110" customFormat="1" ht="23.25" customHeight="1">
      <c r="A7" s="1"/>
      <c r="B7" s="18"/>
      <c r="C7" s="40" t="str">
        <f>IF(OR(ISBLANK(A7),ISBLANK(B7)),"",B7*VLOOKUP((IF(OR(A7="Residential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7" s="40" t="str">
        <f>IF(OR(ISBLANK(A7),ISBLANK(B7)),"",B7*VLOOKUP((IF(OR(A7="Residential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8" spans="1:4" s="110" customFormat="1" ht="23.25" customHeight="1">
      <c r="A8" s="1"/>
      <c r="B8" s="18"/>
      <c r="C8" s="40" t="str">
        <f>IF(OR(ISBLANK(A8),ISBLANK(B8)),"",B8*VLOOKUP((IF(OR(A8="Residential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8" s="40" t="str">
        <f>IF(OR(ISBLANK(A8),ISBLANK(B8)),"",B8*VLOOKUP((IF(OR(A8="Residential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9" spans="1:4" s="110" customFormat="1" ht="23.25" customHeight="1">
      <c r="A9" s="1"/>
      <c r="B9" s="18"/>
      <c r="C9" s="40" t="str">
        <f>IF(OR(ISBLANK(A9),ISBLANK(B9)),"",B9*VLOOKUP((IF(OR(A9="Residential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9" s="40" t="str">
        <f>IF(OR(ISBLANK(A9),ISBLANK(B9)),"",B9*VLOOKUP((IF(OR(A9="Residential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0" spans="1:4" s="110" customFormat="1" ht="23.25" customHeight="1">
      <c r="A10" s="1"/>
      <c r="B10" s="18"/>
      <c r="C10" s="40" t="str">
        <f>IF(OR(ISBLANK(A10),ISBLANK(B10)),"",B10*VLOOKUP((IF(OR(A10="Residential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0" s="40" t="str">
        <f>IF(OR(ISBLANK(A10),ISBLANK(B10)),"",B10*VLOOKUP((IF(OR(A10="Residential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1" spans="1:4" s="110" customFormat="1" ht="23.25" customHeight="1">
      <c r="A11" s="1"/>
      <c r="B11" s="18"/>
      <c r="C11" s="40" t="str">
        <f>IF(OR(ISBLANK(A11),ISBLANK(B11)),"",B11*VLOOKUP((IF(OR(A11="Residential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1" s="40" t="str">
        <f>IF(OR(ISBLANK(A11),ISBLANK(B11)),"",B11*VLOOKUP((IF(OR(A11="Residential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2" spans="1:4" s="110" customFormat="1" ht="23.25" customHeight="1">
      <c r="A12" s="1"/>
      <c r="B12" s="18"/>
      <c r="C12" s="40" t="str">
        <f>IF(OR(ISBLANK(A12),ISBLANK(B12)),"",B12*VLOOKUP((IF(OR(A12="Residential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2" s="40" t="str">
        <f>IF(OR(ISBLANK(A12),ISBLANK(B12)),"",B12*VLOOKUP((IF(OR(A12="Residential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3" spans="1:4" s="110" customFormat="1" ht="23.25" customHeight="1">
      <c r="A13" s="1"/>
      <c r="B13" s="18"/>
      <c r="C13" s="40" t="str">
        <f>IF(OR(ISBLANK(A13),ISBLANK(B13)),"",B13*VLOOKUP((IF(OR(A13="Residential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3" s="40" t="str">
        <f>IF(OR(ISBLANK(A13),ISBLANK(B13)),"",B13*VLOOKUP((IF(OR(A13="Residential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4" spans="1:4" s="110" customFormat="1" ht="23.25" customHeight="1">
      <c r="A14" s="1"/>
      <c r="B14" s="18"/>
      <c r="C14" s="40" t="str">
        <f>IF(OR(ISBLANK(A14),ISBLANK(B14)),"",B14*VLOOKUP((IF(OR(A14="Residential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4" s="40" t="str">
        <f>IF(OR(ISBLANK(A14),ISBLANK(B14)),"",B14*VLOOKUP((IF(OR(A14="Residential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5" spans="1:4" s="110" customFormat="1" ht="23.25" customHeight="1">
      <c r="A15" s="1"/>
      <c r="B15" s="18"/>
      <c r="C15" s="40" t="str">
        <f>IF(OR(ISBLANK(A15),ISBLANK(B15)),"",B15*VLOOKUP((IF(OR(A15="Residential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5" s="40" t="str">
        <f>IF(OR(ISBLANK(A15),ISBLANK(B15)),"",B15*VLOOKUP((IF(OR(A15="Residential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6" spans="1:4" s="110" customFormat="1" ht="23.25" customHeight="1">
      <c r="A16" s="1"/>
      <c r="B16" s="18"/>
      <c r="C16" s="40" t="str">
        <f>IF(OR(ISBLANK(A16),ISBLANK(B16)),"",B16*VLOOKUP((IF(OR(A16="Residential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6" s="40" t="str">
        <f>IF(OR(ISBLANK(A16),ISBLANK(B16)),"",B16*VLOOKUP((IF(OR(A16="Residential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7" spans="1:6" s="110" customFormat="1" ht="23.25" customHeight="1">
      <c r="A17" s="1"/>
      <c r="B17" s="18"/>
      <c r="C17" s="40" t="str">
        <f>IF(OR(ISBLANK(A17),ISBLANK(B17)),"",B17*VLOOKUP((IF(OR(A17="Residential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7" s="40" t="str">
        <f>IF(OR(ISBLANK(A17),ISBLANK(B17)),"",B17*VLOOKUP((IF(OR(A17="Residential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8" spans="1:6" s="110" customFormat="1" ht="23.25" customHeight="1">
      <c r="A18" s="1"/>
      <c r="B18" s="18"/>
      <c r="C18" s="40" t="str">
        <f>IF(OR(ISBLANK(A18),ISBLANK(B18)),"",B18*VLOOKUP((IF(OR(A18="Residential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8" s="40" t="str">
        <f>IF(OR(ISBLANK(A18),ISBLANK(B18)),"",B18*VLOOKUP((IF(OR(A18="Residential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9" spans="1:6" s="110" customFormat="1" ht="23.25" customHeight="1">
      <c r="A19" s="1"/>
      <c r="B19" s="18"/>
      <c r="C19" s="40" t="str">
        <f>IF(OR(ISBLANK(A19),ISBLANK(B19)),"",B19*VLOOKUP((IF(OR(A19="Residential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9" s="40" t="str">
        <f>IF(OR(ISBLANK(A19),ISBLANK(B19)),"",B19*VLOOKUP((IF(OR(A19="Residential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20" spans="1:6" s="110" customFormat="1" ht="23.25" customHeight="1">
      <c r="A20" s="1"/>
      <c r="B20" s="18"/>
      <c r="C20" s="40" t="str">
        <f>IF(OR(ISBLANK(A20),ISBLANK(B20)),"",B20*VLOOKUP((IF(OR(A20="Residential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20" s="40" t="str">
        <f>IF(OR(ISBLANK(A20),ISBLANK(B20)),"",B20*VLOOKUP((IF(OR(A20="Residential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C$8,Value_look_up_tables!$A$491:$B$492,2,FALSE)&amp;"|"&amp;VLOOKUP(Nutrients_from_current_land_use!$C$7,Value_look_up_tables!$A$450:$C$472,3,FALSE)&amp;"|"&amp;VLOOKUP(Nutrients_from_current_land_use!$B$6,Value_look_up_tables!$A$482:$B$487,2,FALSE)))),Value_look_up_tables!$F$91:$H$446,3,FALSE))</f>
        <v/>
      </c>
      <c r="F20" s="111"/>
    </row>
    <row r="21" spans="1:6" s="110" customFormat="1" ht="23.25" customHeight="1">
      <c r="A21" s="1"/>
      <c r="B21" s="18"/>
      <c r="C21" s="40" t="str">
        <f>IF(OR(ISBLANK(A21),ISBLANK(B21)),"",B21*VLOOKUP((IF(OR(A21="Residential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21" s="40" t="str">
        <f>IF(OR(ISBLANK(A21),ISBLANK(B21)),"",B21*VLOOKUP((IF(OR(A21="Residential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22" spans="1:6" s="110" customFormat="1" ht="23.25" customHeight="1">
      <c r="A22" s="10" t="s">
        <v>97</v>
      </c>
      <c r="B22" s="43">
        <f>SUM(B5:B21)</f>
        <v>0</v>
      </c>
      <c r="C22" s="40">
        <f>SUM(C5:C21)</f>
        <v>0</v>
      </c>
      <c r="D22" s="40">
        <f>SUM(D5:D21)</f>
        <v>0</v>
      </c>
    </row>
  </sheetData>
  <sheetProtection algorithmName="SHA-512" hashValue="fOAIK3cU2kxHviiwGpdOVOF2b0eVqlHHmFYRWiKarBmit3gEczQWY7hwtFN0BeoTvy4ZXOho5VUEzuHz2iV7dg==" saltValue="A45g4oJkmABUDBJg/w3D7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Value_look_up_tables!$A$505:$A$512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29"/>
  <sheetViews>
    <sheetView zoomScaleNormal="100" workbookViewId="0"/>
  </sheetViews>
  <sheetFormatPr defaultColWidth="9.140625" defaultRowHeight="14.25"/>
  <cols>
    <col min="1" max="1" width="159.28515625" style="41" customWidth="1"/>
    <col min="2" max="3" width="19.85546875" style="41" customWidth="1"/>
    <col min="4" max="4" width="24.85546875" style="41" customWidth="1"/>
    <col min="5" max="5" width="19.5703125" style="41" customWidth="1"/>
    <col min="6" max="6" width="60.85546875" style="41" customWidth="1"/>
    <col min="7" max="7" width="21.85546875" style="41" customWidth="1"/>
    <col min="8" max="8" width="23" style="41" customWidth="1"/>
    <col min="9" max="10" width="23.7109375" style="41" customWidth="1"/>
    <col min="11" max="11" width="50.7109375" style="41" customWidth="1"/>
    <col min="12" max="474" width="8.5703125" style="41" customWidth="1"/>
    <col min="475" max="16384" width="9.140625" style="41"/>
  </cols>
  <sheetData>
    <row r="1" spans="1:14" ht="67.5" customHeight="1">
      <c r="A1" s="14" t="s">
        <v>103</v>
      </c>
      <c r="B1" s="37"/>
      <c r="C1" s="37"/>
      <c r="D1" s="37"/>
      <c r="E1" s="37"/>
    </row>
    <row r="2" spans="1:14" s="3" customFormat="1" ht="409.6" customHeight="1">
      <c r="A2" s="2" t="s">
        <v>104</v>
      </c>
      <c r="B2" s="22"/>
      <c r="C2" s="22"/>
      <c r="D2" s="22"/>
      <c r="E2" s="22"/>
    </row>
    <row r="3" spans="1:14" s="3" customFormat="1" ht="97.5" customHeight="1">
      <c r="A3" s="74" t="s">
        <v>105</v>
      </c>
      <c r="B3" s="74" t="s">
        <v>106</v>
      </c>
      <c r="C3" s="74" t="s">
        <v>107</v>
      </c>
      <c r="D3" s="74" t="s">
        <v>108</v>
      </c>
      <c r="E3" s="74" t="s">
        <v>109</v>
      </c>
      <c r="F3" s="74" t="s">
        <v>110</v>
      </c>
      <c r="G3" s="74" t="s">
        <v>111</v>
      </c>
      <c r="H3" s="74" t="s">
        <v>112</v>
      </c>
      <c r="I3" s="74" t="s">
        <v>113</v>
      </c>
      <c r="J3" s="74" t="s">
        <v>114</v>
      </c>
      <c r="K3" s="78" t="s">
        <v>96</v>
      </c>
    </row>
    <row r="4" spans="1:14" s="3" customFormat="1" ht="28.5" customHeight="1">
      <c r="A4" s="79"/>
      <c r="B4" s="19"/>
      <c r="C4" s="75"/>
      <c r="D4" s="42" t="str">
        <f>IFERROR(IF(ISBLANK(A4),"",IF(ISBLANK(B4),"",VLOOKUP(A4,Nutrients_from_future_land_use!$A$5:$D$21,3,FALSE)*(B4/VLOOKUP(A4,Nutrients_from_future_land_use!$A$5:$D$21,2,FALSE)))),"")</f>
        <v/>
      </c>
      <c r="E4" s="42" t="str">
        <f>IFERROR(IF(ISBLANK(A4),"",IF(ISBLANK(B4),"",VLOOKUP(A4,Nutrients_from_future_land_use!$A$5:$D$21,4,FALSE)*(B4/VLOOKUP(A4,Nutrients_from_future_land_use!$A$5:$D$21,2,FALSE)))),"")</f>
        <v/>
      </c>
      <c r="F4" s="75"/>
      <c r="G4" s="75"/>
      <c r="H4" s="75"/>
      <c r="I4" s="42" t="str">
        <f>IFERROR(IF(OR(ISBLANK($A4),ISBLANK($B4),ISBLANK($G4)),"",$C4/100*D4*G4/100),"")</f>
        <v/>
      </c>
      <c r="J4" s="42" t="str">
        <f>IFERROR(IF(OR(ISBLANK($A4),ISBLANK($B4),ISBLANK($H4)),"",$C4/100*E4*H4/100),"")</f>
        <v/>
      </c>
      <c r="K4" s="3" t="str">
        <f>IF(SUMIFS($B$4:$B$28,$A$4:$A$28,A4)&gt;SUMIFS(Nutrients_from_future_land_use!$B$5:$B$21,Nutrients_from_future_land_use!$A$5:$A$21,A4),"Area of new land covers within SuDS catchment area exceeds the area of new land covers proposed","")</f>
        <v/>
      </c>
    </row>
    <row r="5" spans="1:14" s="3" customFormat="1" ht="28.5" customHeight="1">
      <c r="A5" s="80"/>
      <c r="B5" s="18"/>
      <c r="C5" s="75"/>
      <c r="D5" s="42" t="str">
        <f>IFERROR(IF(ISBLANK(A5),"",IF(ISBLANK(B5),"",VLOOKUP(A5,Nutrients_from_future_land_use!$A$5:$D$21,3,FALSE)*(B5/VLOOKUP(A5,Nutrients_from_future_land_use!$A$5:$D$21,2,FALSE)))),"")</f>
        <v/>
      </c>
      <c r="E5" s="42" t="str">
        <f>IFERROR(IF(ISBLANK(A5),"",IF(ISBLANK(B5),"",VLOOKUP(A5,Nutrients_from_future_land_use!$A$5:$D$21,4,FALSE)*(B5/VLOOKUP(A5,Nutrients_from_future_land_use!$A$5:$D$21,2,FALSE)))),"")</f>
        <v/>
      </c>
      <c r="F5" s="75"/>
      <c r="G5" s="75"/>
      <c r="H5" s="75"/>
      <c r="I5" s="42" t="str">
        <f t="shared" ref="I5:I28" si="0">IFERROR(IF(OR(ISBLANK($A5),ISBLANK($B5),ISBLANK($G5)),"",$C5/100*D5*G5/100),"")</f>
        <v/>
      </c>
      <c r="J5" s="42" t="str">
        <f t="shared" ref="J5:J28" si="1">IFERROR(IF(OR(ISBLANK($A5),ISBLANK($B5),ISBLANK($H5)),"",$C5/100*E5*H5/100),"")</f>
        <v/>
      </c>
      <c r="K5" s="3" t="str">
        <f>IF(SUMIFS($B$4:$B$28,$A$4:$A$28,A5)&gt;SUMIFS(Nutrients_from_future_land_use!$B$5:$B$21,Nutrients_from_future_land_use!$A$5:$A$21,A5),"Area of new land covers within SuDS catchment area exceeds the area of new land covers proposed","")</f>
        <v/>
      </c>
    </row>
    <row r="6" spans="1:14" s="3" customFormat="1" ht="28.5" customHeight="1">
      <c r="A6" s="80"/>
      <c r="B6" s="18"/>
      <c r="C6" s="75"/>
      <c r="D6" s="42" t="str">
        <f>IFERROR(IF(ISBLANK(A6),"",IF(ISBLANK(B6),"",VLOOKUP(A6,Nutrients_from_future_land_use!$A$5:$D$21,3,FALSE)*(B6/VLOOKUP(A6,Nutrients_from_future_land_use!$A$5:$D$21,2,FALSE)))),"")</f>
        <v/>
      </c>
      <c r="E6" s="42" t="str">
        <f>IFERROR(IF(ISBLANK(A6),"",IF(ISBLANK(B6),"",VLOOKUP(A6,Nutrients_from_future_land_use!$A$5:$D$21,4,FALSE)*(B6/VLOOKUP(A6,Nutrients_from_future_land_use!$A$5:$D$21,2,FALSE)))),"")</f>
        <v/>
      </c>
      <c r="F6" s="75"/>
      <c r="G6" s="75"/>
      <c r="H6" s="75"/>
      <c r="I6" s="42" t="str">
        <f t="shared" si="0"/>
        <v/>
      </c>
      <c r="J6" s="42" t="str">
        <f t="shared" si="1"/>
        <v/>
      </c>
      <c r="K6" s="3" t="str">
        <f>IF(SUMIFS($B$4:$B$28,$A$4:$A$28,A6)&gt;SUMIFS(Nutrients_from_future_land_use!$B$5:$B$21,Nutrients_from_future_land_use!$A$5:$A$21,A6),"Area of new land covers within SuDS catchment area exceeds the area of new land covers proposed","")</f>
        <v/>
      </c>
    </row>
    <row r="7" spans="1:14" s="3" customFormat="1" ht="28.5" customHeight="1">
      <c r="A7" s="80"/>
      <c r="B7" s="18"/>
      <c r="C7" s="75"/>
      <c r="D7" s="42" t="str">
        <f>IFERROR(IF(ISBLANK(A7),"",IF(ISBLANK(B7),"",VLOOKUP(A7,Nutrients_from_future_land_use!$A$5:$D$21,3,FALSE)*(B7/VLOOKUP(A7,Nutrients_from_future_land_use!$A$5:$D$21,2,FALSE)))),"")</f>
        <v/>
      </c>
      <c r="E7" s="42" t="str">
        <f>IFERROR(IF(ISBLANK(A7),"",IF(ISBLANK(B7),"",VLOOKUP(A7,Nutrients_from_future_land_use!$A$5:$D$21,4,FALSE)*(B7/VLOOKUP(A7,Nutrients_from_future_land_use!$A$5:$D$21,2,FALSE)))),"")</f>
        <v/>
      </c>
      <c r="F7" s="75"/>
      <c r="G7" s="75"/>
      <c r="H7" s="75"/>
      <c r="I7" s="42" t="str">
        <f t="shared" si="0"/>
        <v/>
      </c>
      <c r="J7" s="42" t="str">
        <f t="shared" si="1"/>
        <v/>
      </c>
      <c r="K7" s="3" t="str">
        <f>IF(SUMIFS($B$4:$B$28,$A$4:$A$28,A7)&gt;SUMIFS(Nutrients_from_future_land_use!$B$5:$B$21,Nutrients_from_future_land_use!$A$5:$A$21,A7),"Area of new land covers within SuDS catchment area exceeds the area of new land covers proposed","")</f>
        <v/>
      </c>
    </row>
    <row r="8" spans="1:14" s="3" customFormat="1" ht="28.5" customHeight="1">
      <c r="A8" s="80"/>
      <c r="B8" s="18"/>
      <c r="C8" s="75"/>
      <c r="D8" s="42" t="str">
        <f>IFERROR(IF(ISBLANK(A8),"",IF(ISBLANK(B8),"",VLOOKUP(A8,Nutrients_from_future_land_use!$A$5:$D$21,3,FALSE)*(B8/VLOOKUP(A8,Nutrients_from_future_land_use!$A$5:$D$21,2,FALSE)))),"")</f>
        <v/>
      </c>
      <c r="E8" s="42" t="str">
        <f>IFERROR(IF(ISBLANK(A8),"",IF(ISBLANK(B8),"",VLOOKUP(A8,Nutrients_from_future_land_use!$A$5:$D$21,4,FALSE)*(B8/VLOOKUP(A8,Nutrients_from_future_land_use!$A$5:$D$21,2,FALSE)))),"")</f>
        <v/>
      </c>
      <c r="F8" s="75"/>
      <c r="G8" s="75"/>
      <c r="H8" s="75"/>
      <c r="I8" s="42" t="str">
        <f t="shared" si="0"/>
        <v/>
      </c>
      <c r="J8" s="42" t="str">
        <f t="shared" si="1"/>
        <v/>
      </c>
      <c r="K8" s="3" t="str">
        <f>IF(SUMIFS($B$4:$B$28,$A$4:$A$28,A8)&gt;SUMIFS(Nutrients_from_future_land_use!$B$5:$B$21,Nutrients_from_future_land_use!$A$5:$A$21,A8),"Area of new land covers within SuDS catchment area exceeds the area of new land covers proposed","")</f>
        <v/>
      </c>
      <c r="N8" s="112"/>
    </row>
    <row r="9" spans="1:14" s="3" customFormat="1" ht="28.5" customHeight="1">
      <c r="A9" s="80"/>
      <c r="B9" s="18"/>
      <c r="C9" s="75"/>
      <c r="D9" s="42" t="str">
        <f>IFERROR(IF(ISBLANK(A9),"",IF(ISBLANK(B9),"",VLOOKUP(A9,Nutrients_from_future_land_use!$A$5:$D$21,3,FALSE)*(B9/VLOOKUP(A9,Nutrients_from_future_land_use!$A$5:$D$21,2,FALSE)))),"")</f>
        <v/>
      </c>
      <c r="E9" s="42" t="str">
        <f>IFERROR(IF(ISBLANK(A9),"",IF(ISBLANK(B9),"",VLOOKUP(A9,Nutrients_from_future_land_use!$A$5:$D$21,4,FALSE)*(B9/VLOOKUP(A9,Nutrients_from_future_land_use!$A$5:$D$21,2,FALSE)))),"")</f>
        <v/>
      </c>
      <c r="F9" s="75"/>
      <c r="G9" s="75"/>
      <c r="H9" s="75"/>
      <c r="I9" s="42" t="str">
        <f t="shared" si="0"/>
        <v/>
      </c>
      <c r="J9" s="42" t="str">
        <f t="shared" si="1"/>
        <v/>
      </c>
      <c r="K9" s="3" t="str">
        <f>IF(SUMIFS($B$4:$B$28,$A$4:$A$28,A9)&gt;SUMIFS(Nutrients_from_future_land_use!$B$5:$B$21,Nutrients_from_future_land_use!$A$5:$A$21,A9),"Area of new land covers within SuDS catchment area exceeds the area of new land covers proposed","")</f>
        <v/>
      </c>
      <c r="N9" s="112"/>
    </row>
    <row r="10" spans="1:14" s="3" customFormat="1" ht="28.5" customHeight="1">
      <c r="A10" s="80"/>
      <c r="B10" s="18"/>
      <c r="C10" s="75"/>
      <c r="D10" s="42" t="str">
        <f>IFERROR(IF(ISBLANK(A10),"",IF(ISBLANK(B10),"",VLOOKUP(A10,Nutrients_from_future_land_use!$A$5:$D$21,3,FALSE)*(B10/VLOOKUP(A10,Nutrients_from_future_land_use!$A$5:$D$21,2,FALSE)))),"")</f>
        <v/>
      </c>
      <c r="E10" s="42" t="str">
        <f>IFERROR(IF(ISBLANK(A10),"",IF(ISBLANK(B10),"",VLOOKUP(A10,Nutrients_from_future_land_use!$A$5:$D$21,4,FALSE)*(B10/VLOOKUP(A10,Nutrients_from_future_land_use!$A$5:$D$21,2,FALSE)))),"")</f>
        <v/>
      </c>
      <c r="F10" s="75"/>
      <c r="G10" s="75"/>
      <c r="H10" s="75"/>
      <c r="I10" s="42" t="str">
        <f t="shared" si="0"/>
        <v/>
      </c>
      <c r="J10" s="42" t="str">
        <f t="shared" si="1"/>
        <v/>
      </c>
      <c r="K10" s="3" t="str">
        <f>IF(SUMIFS($B$4:$B$28,$A$4:$A$28,A10)&gt;SUMIFS(Nutrients_from_future_land_use!$B$5:$B$21,Nutrients_from_future_land_use!$A$5:$A$21,A10),"Area of new land covers within SuDS catchment area exceeds the area of new land covers proposed","")</f>
        <v/>
      </c>
      <c r="N10" s="112"/>
    </row>
    <row r="11" spans="1:14" s="3" customFormat="1" ht="28.5" customHeight="1">
      <c r="A11" s="80"/>
      <c r="B11" s="18"/>
      <c r="C11" s="75"/>
      <c r="D11" s="42" t="str">
        <f>IFERROR(IF(ISBLANK(A11),"",IF(ISBLANK(B11),"",VLOOKUP(A11,Nutrients_from_future_land_use!$A$5:$D$21,3,FALSE)*(B11/VLOOKUP(A11,Nutrients_from_future_land_use!$A$5:$D$21,2,FALSE)))),"")</f>
        <v/>
      </c>
      <c r="E11" s="42" t="str">
        <f>IFERROR(IF(ISBLANK(A11),"",IF(ISBLANK(B11),"",VLOOKUP(A11,Nutrients_from_future_land_use!$A$5:$D$21,4,FALSE)*(B11/VLOOKUP(A11,Nutrients_from_future_land_use!$A$5:$D$21,2,FALSE)))),"")</f>
        <v/>
      </c>
      <c r="F11" s="75"/>
      <c r="G11" s="75"/>
      <c r="H11" s="75"/>
      <c r="I11" s="42" t="str">
        <f t="shared" si="0"/>
        <v/>
      </c>
      <c r="J11" s="42" t="str">
        <f t="shared" si="1"/>
        <v/>
      </c>
      <c r="K11" s="3" t="str">
        <f>IF(SUMIFS($B$4:$B$28,$A$4:$A$28,A11)&gt;SUMIFS(Nutrients_from_future_land_use!$B$5:$B$21,Nutrients_from_future_land_use!$A$5:$A$21,A11),"Area of new land covers within SuDS catchment area exceeds the area of new land covers proposed","")</f>
        <v/>
      </c>
      <c r="N11" s="112"/>
    </row>
    <row r="12" spans="1:14" s="3" customFormat="1" ht="28.5" customHeight="1">
      <c r="A12" s="80"/>
      <c r="B12" s="18"/>
      <c r="C12" s="75"/>
      <c r="D12" s="42" t="str">
        <f>IFERROR(IF(ISBLANK(A12),"",IF(ISBLANK(B12),"",VLOOKUP(A12,Nutrients_from_future_land_use!$A$5:$D$21,3,FALSE)*(B12/VLOOKUP(A12,Nutrients_from_future_land_use!$A$5:$D$21,2,FALSE)))),"")</f>
        <v/>
      </c>
      <c r="E12" s="42" t="str">
        <f>IFERROR(IF(ISBLANK(A12),"",IF(ISBLANK(B12),"",VLOOKUP(A12,Nutrients_from_future_land_use!$A$5:$D$21,4,FALSE)*(B12/VLOOKUP(A12,Nutrients_from_future_land_use!$A$5:$D$21,2,FALSE)))),"")</f>
        <v/>
      </c>
      <c r="F12" s="75"/>
      <c r="G12" s="75"/>
      <c r="H12" s="75"/>
      <c r="I12" s="42" t="str">
        <f t="shared" si="0"/>
        <v/>
      </c>
      <c r="J12" s="42" t="str">
        <f t="shared" si="1"/>
        <v/>
      </c>
      <c r="K12" s="3" t="str">
        <f>IF(SUMIFS($B$4:$B$28,$A$4:$A$28,A12)&gt;SUMIFS(Nutrients_from_future_land_use!$B$5:$B$21,Nutrients_from_future_land_use!$A$5:$A$21,A12),"Area of new land covers within SuDS catchment area exceeds the area of new land covers proposed","")</f>
        <v/>
      </c>
      <c r="N12" s="112"/>
    </row>
    <row r="13" spans="1:14" s="3" customFormat="1" ht="28.5" customHeight="1">
      <c r="A13" s="80"/>
      <c r="B13" s="18"/>
      <c r="C13" s="75"/>
      <c r="D13" s="42" t="str">
        <f>IFERROR(IF(ISBLANK(A13),"",IF(ISBLANK(B13),"",VLOOKUP(A13,Nutrients_from_future_land_use!$A$5:$D$21,3,FALSE)*(B13/VLOOKUP(A13,Nutrients_from_future_land_use!$A$5:$D$21,2,FALSE)))),"")</f>
        <v/>
      </c>
      <c r="E13" s="42" t="str">
        <f>IFERROR(IF(ISBLANK(A13),"",IF(ISBLANK(B13),"",VLOOKUP(A13,Nutrients_from_future_land_use!$A$5:$D$21,4,FALSE)*(B13/VLOOKUP(A13,Nutrients_from_future_land_use!$A$5:$D$21,2,FALSE)))),"")</f>
        <v/>
      </c>
      <c r="F13" s="75"/>
      <c r="G13" s="75"/>
      <c r="H13" s="75"/>
      <c r="I13" s="42" t="str">
        <f t="shared" si="0"/>
        <v/>
      </c>
      <c r="J13" s="42" t="str">
        <f t="shared" si="1"/>
        <v/>
      </c>
      <c r="K13" s="3" t="str">
        <f>IF(SUMIFS($B$4:$B$28,$A$4:$A$28,A13)&gt;SUMIFS(Nutrients_from_future_land_use!$B$5:$B$21,Nutrients_from_future_land_use!$A$5:$A$21,A13),"Area of new land covers within SuDS catchment area exceeds the area of new land covers proposed","")</f>
        <v/>
      </c>
      <c r="N13" s="112"/>
    </row>
    <row r="14" spans="1:14" s="3" customFormat="1" ht="28.5" customHeight="1">
      <c r="A14" s="80"/>
      <c r="B14" s="18"/>
      <c r="C14" s="75"/>
      <c r="D14" s="42" t="str">
        <f>IFERROR(IF(ISBLANK(A14),"",IF(ISBLANK(B14),"",VLOOKUP(A14,Nutrients_from_future_land_use!$A$5:$D$21,3,FALSE)*(B14/VLOOKUP(A14,Nutrients_from_future_land_use!$A$5:$D$21,2,FALSE)))),"")</f>
        <v/>
      </c>
      <c r="E14" s="42" t="str">
        <f>IFERROR(IF(ISBLANK(A14),"",IF(ISBLANK(B14),"",VLOOKUP(A14,Nutrients_from_future_land_use!$A$5:$D$21,4,FALSE)*(B14/VLOOKUP(A14,Nutrients_from_future_land_use!$A$5:$D$21,2,FALSE)))),"")</f>
        <v/>
      </c>
      <c r="F14" s="75"/>
      <c r="G14" s="75"/>
      <c r="H14" s="75"/>
      <c r="I14" s="42" t="str">
        <f t="shared" si="0"/>
        <v/>
      </c>
      <c r="J14" s="42" t="str">
        <f t="shared" si="1"/>
        <v/>
      </c>
      <c r="K14" s="3" t="str">
        <f>IF(SUMIFS($B$4:$B$28,$A$4:$A$28,A14)&gt;SUMIFS(Nutrients_from_future_land_use!$B$5:$B$21,Nutrients_from_future_land_use!$A$5:$A$21,A14),"Area of new land covers within SuDS catchment area exceeds the area of new land covers proposed","")</f>
        <v/>
      </c>
    </row>
    <row r="15" spans="1:14" s="3" customFormat="1" ht="28.5" customHeight="1">
      <c r="A15" s="80"/>
      <c r="B15" s="18"/>
      <c r="C15" s="75"/>
      <c r="D15" s="42" t="str">
        <f>IFERROR(IF(ISBLANK(A15),"",IF(ISBLANK(B15),"",VLOOKUP(A15,Nutrients_from_future_land_use!$A$5:$D$21,3,FALSE)*(B15/VLOOKUP(A15,Nutrients_from_future_land_use!$A$5:$D$21,2,FALSE)))),"")</f>
        <v/>
      </c>
      <c r="E15" s="42" t="str">
        <f>IFERROR(IF(ISBLANK(A15),"",IF(ISBLANK(B15),"",VLOOKUP(A15,Nutrients_from_future_land_use!$A$5:$D$21,4,FALSE)*(B15/VLOOKUP(A15,Nutrients_from_future_land_use!$A$5:$D$21,2,FALSE)))),"")</f>
        <v/>
      </c>
      <c r="F15" s="75"/>
      <c r="G15" s="75"/>
      <c r="H15" s="75"/>
      <c r="I15" s="42" t="str">
        <f t="shared" si="0"/>
        <v/>
      </c>
      <c r="J15" s="42" t="str">
        <f t="shared" si="1"/>
        <v/>
      </c>
      <c r="K15" s="3" t="str">
        <f>IF(SUMIFS($B$4:$B$28,$A$4:$A$28,A15)&gt;SUMIFS(Nutrients_from_future_land_use!$B$5:$B$21,Nutrients_from_future_land_use!$A$5:$A$21,A15),"Area of new land covers within SuDS catchment area exceeds the area of new land covers proposed","")</f>
        <v/>
      </c>
    </row>
    <row r="16" spans="1:14" s="3" customFormat="1" ht="28.5" customHeight="1">
      <c r="A16" s="80"/>
      <c r="B16" s="18"/>
      <c r="C16" s="75"/>
      <c r="D16" s="42" t="str">
        <f>IFERROR(IF(ISBLANK(A16),"",IF(ISBLANK(B16),"",VLOOKUP(A16,Nutrients_from_future_land_use!$A$5:$D$21,3,FALSE)*(B16/VLOOKUP(A16,Nutrients_from_future_land_use!$A$5:$D$21,2,FALSE)))),"")</f>
        <v/>
      </c>
      <c r="E16" s="42" t="str">
        <f>IFERROR(IF(ISBLANK(A16),"",IF(ISBLANK(B16),"",VLOOKUP(A16,Nutrients_from_future_land_use!$A$5:$D$21,4,FALSE)*(B16/VLOOKUP(A16,Nutrients_from_future_land_use!$A$5:$D$21,2,FALSE)))),"")</f>
        <v/>
      </c>
      <c r="F16" s="75"/>
      <c r="G16" s="75"/>
      <c r="H16" s="75"/>
      <c r="I16" s="42" t="str">
        <f t="shared" si="0"/>
        <v/>
      </c>
      <c r="J16" s="42" t="str">
        <f t="shared" si="1"/>
        <v/>
      </c>
      <c r="K16" s="3" t="str">
        <f>IF(SUMIFS($B$4:$B$28,$A$4:$A$28,A16)&gt;SUMIFS(Nutrients_from_future_land_use!$B$5:$B$21,Nutrients_from_future_land_use!$A$5:$A$21,A16),"Area of new land covers within SuDS catchment area exceeds the area of new land covers proposed","")</f>
        <v/>
      </c>
    </row>
    <row r="17" spans="1:11" s="3" customFormat="1" ht="28.5" customHeight="1">
      <c r="A17" s="80"/>
      <c r="B17" s="18"/>
      <c r="C17" s="75"/>
      <c r="D17" s="42" t="str">
        <f>IFERROR(IF(ISBLANK(A17),"",IF(ISBLANK(B17),"",VLOOKUP(A17,Nutrients_from_future_land_use!$A$5:$D$21,3,FALSE)*(B17/VLOOKUP(A17,Nutrients_from_future_land_use!$A$5:$D$21,2,FALSE)))),"")</f>
        <v/>
      </c>
      <c r="E17" s="42" t="str">
        <f>IFERROR(IF(ISBLANK(A17),"",IF(ISBLANK(B17),"",VLOOKUP(A17,Nutrients_from_future_land_use!$A$5:$D$21,4,FALSE)*(B17/VLOOKUP(A17,Nutrients_from_future_land_use!$A$5:$D$21,2,FALSE)))),"")</f>
        <v/>
      </c>
      <c r="F17" s="75"/>
      <c r="G17" s="75"/>
      <c r="H17" s="75"/>
      <c r="I17" s="42" t="str">
        <f t="shared" si="0"/>
        <v/>
      </c>
      <c r="J17" s="42" t="str">
        <f t="shared" si="1"/>
        <v/>
      </c>
      <c r="K17" s="3" t="str">
        <f>IF(SUMIFS($B$4:$B$28,$A$4:$A$28,A17)&gt;SUMIFS(Nutrients_from_future_land_use!$B$5:$B$21,Nutrients_from_future_land_use!$A$5:$A$21,A17),"Area of new land covers within SuDS catchment area exceeds the area of new land covers proposed","")</f>
        <v/>
      </c>
    </row>
    <row r="18" spans="1:11" s="3" customFormat="1" ht="28.5" customHeight="1">
      <c r="A18" s="80"/>
      <c r="B18" s="18"/>
      <c r="C18" s="75"/>
      <c r="D18" s="42" t="str">
        <f>IFERROR(IF(ISBLANK(A18),"",IF(ISBLANK(B18),"",VLOOKUP(A18,Nutrients_from_future_land_use!$A$5:$D$21,3,FALSE)*(B18/VLOOKUP(A18,Nutrients_from_future_land_use!$A$5:$D$21,2,FALSE)))),"")</f>
        <v/>
      </c>
      <c r="E18" s="42" t="str">
        <f>IFERROR(IF(ISBLANK(A18),"",IF(ISBLANK(B18),"",VLOOKUP(A18,Nutrients_from_future_land_use!$A$5:$D$21,4,FALSE)*(B18/VLOOKUP(A18,Nutrients_from_future_land_use!$A$5:$D$21,2,FALSE)))),"")</f>
        <v/>
      </c>
      <c r="F18" s="75"/>
      <c r="G18" s="75"/>
      <c r="H18" s="75"/>
      <c r="I18" s="42" t="str">
        <f t="shared" si="0"/>
        <v/>
      </c>
      <c r="J18" s="42" t="str">
        <f t="shared" si="1"/>
        <v/>
      </c>
      <c r="K18" s="3" t="str">
        <f>IF(SUMIFS($B$4:$B$28,$A$4:$A$28,A18)&gt;SUMIFS(Nutrients_from_future_land_use!$B$5:$B$21,Nutrients_from_future_land_use!$A$5:$A$21,A18),"Area of new land covers within SuDS catchment area exceeds the area of new land covers proposed","")</f>
        <v/>
      </c>
    </row>
    <row r="19" spans="1:11" s="3" customFormat="1" ht="28.5" customHeight="1">
      <c r="A19" s="80"/>
      <c r="B19" s="18"/>
      <c r="C19" s="75"/>
      <c r="D19" s="42" t="str">
        <f>IFERROR(IF(ISBLANK(A19),"",IF(ISBLANK(B19),"",VLOOKUP(A19,Nutrients_from_future_land_use!$A$5:$D$21,3,FALSE)*(B19/VLOOKUP(A19,Nutrients_from_future_land_use!$A$5:$D$21,2,FALSE)))),"")</f>
        <v/>
      </c>
      <c r="E19" s="42" t="str">
        <f>IFERROR(IF(ISBLANK(A19),"",IF(ISBLANK(B19),"",VLOOKUP(A19,Nutrients_from_future_land_use!$A$5:$D$21,4,FALSE)*(B19/VLOOKUP(A19,Nutrients_from_future_land_use!$A$5:$D$21,2,FALSE)))),"")</f>
        <v/>
      </c>
      <c r="F19" s="75"/>
      <c r="G19" s="75"/>
      <c r="H19" s="75"/>
      <c r="I19" s="42" t="str">
        <f t="shared" si="0"/>
        <v/>
      </c>
      <c r="J19" s="42" t="str">
        <f t="shared" si="1"/>
        <v/>
      </c>
      <c r="K19" s="3" t="str">
        <f>IF(SUMIFS($B$4:$B$28,$A$4:$A$28,A19)&gt;SUMIFS(Nutrients_from_future_land_use!$B$5:$B$21,Nutrients_from_future_land_use!$A$5:$A$21,A19),"Area of new land covers within SuDS catchment area exceeds the area of new land covers proposed","")</f>
        <v/>
      </c>
    </row>
    <row r="20" spans="1:11" s="3" customFormat="1" ht="28.5" customHeight="1">
      <c r="A20" s="80"/>
      <c r="B20" s="18"/>
      <c r="C20" s="75"/>
      <c r="D20" s="42" t="str">
        <f>IFERROR(IF(ISBLANK(A20),"",IF(ISBLANK(B20),"",VLOOKUP(A20,Nutrients_from_future_land_use!$A$5:$D$21,3,FALSE)*(B20/VLOOKUP(A20,Nutrients_from_future_land_use!$A$5:$D$21,2,FALSE)))),"")</f>
        <v/>
      </c>
      <c r="E20" s="42" t="str">
        <f>IFERROR(IF(ISBLANK(A20),"",IF(ISBLANK(B20),"",VLOOKUP(A20,Nutrients_from_future_land_use!$A$5:$D$21,4,FALSE)*(B20/VLOOKUP(A20,Nutrients_from_future_land_use!$A$5:$D$21,2,FALSE)))),"")</f>
        <v/>
      </c>
      <c r="F20" s="75"/>
      <c r="G20" s="75"/>
      <c r="H20" s="75"/>
      <c r="I20" s="42" t="str">
        <f t="shared" si="0"/>
        <v/>
      </c>
      <c r="J20" s="42" t="str">
        <f t="shared" si="1"/>
        <v/>
      </c>
      <c r="K20" s="3" t="str">
        <f>IF(SUMIFS($B$4:$B$28,$A$4:$A$28,A20)&gt;SUMIFS(Nutrients_from_future_land_use!$B$5:$B$21,Nutrients_from_future_land_use!$A$5:$A$21,A20),"Area of new land covers within SuDS catchment area exceeds the area of new land covers proposed","")</f>
        <v/>
      </c>
    </row>
    <row r="21" spans="1:11" s="3" customFormat="1" ht="28.5" customHeight="1">
      <c r="A21" s="80"/>
      <c r="B21" s="18"/>
      <c r="C21" s="75"/>
      <c r="D21" s="42" t="str">
        <f>IFERROR(IF(ISBLANK(A21),"",IF(ISBLANK(B21),"",VLOOKUP(A21,Nutrients_from_future_land_use!$A$5:$D$21,3,FALSE)*(B21/VLOOKUP(A21,Nutrients_from_future_land_use!$A$5:$D$21,2,FALSE)))),"")</f>
        <v/>
      </c>
      <c r="E21" s="42" t="str">
        <f>IFERROR(IF(ISBLANK(A21),"",IF(ISBLANK(B21),"",VLOOKUP(A21,Nutrients_from_future_land_use!$A$5:$D$21,4,FALSE)*(B21/VLOOKUP(A21,Nutrients_from_future_land_use!$A$5:$D$21,2,FALSE)))),"")</f>
        <v/>
      </c>
      <c r="F21" s="75"/>
      <c r="G21" s="75"/>
      <c r="H21" s="75"/>
      <c r="I21" s="42" t="str">
        <f t="shared" si="0"/>
        <v/>
      </c>
      <c r="J21" s="42" t="str">
        <f t="shared" si="1"/>
        <v/>
      </c>
      <c r="K21" s="3" t="str">
        <f>IF(SUMIFS($B$4:$B$28,$A$4:$A$28,A21)&gt;SUMIFS(Nutrients_from_future_land_use!$B$5:$B$21,Nutrients_from_future_land_use!$A$5:$A$21,A21),"Area of new land covers within SuDS catchment area exceeds the area of new land covers proposed","")</f>
        <v/>
      </c>
    </row>
    <row r="22" spans="1:11" s="3" customFormat="1" ht="28.5" customHeight="1">
      <c r="A22" s="80"/>
      <c r="B22" s="18"/>
      <c r="C22" s="75"/>
      <c r="D22" s="42" t="str">
        <f>IFERROR(IF(ISBLANK(A22),"",IF(ISBLANK(B22),"",VLOOKUP(A22,Nutrients_from_future_land_use!$A$5:$D$21,3,FALSE)*(B22/VLOOKUP(A22,Nutrients_from_future_land_use!$A$5:$D$21,2,FALSE)))),"")</f>
        <v/>
      </c>
      <c r="E22" s="42" t="str">
        <f>IFERROR(IF(ISBLANK(A22),"",IF(ISBLANK(B22),"",VLOOKUP(A22,Nutrients_from_future_land_use!$A$5:$D$21,4,FALSE)*(B22/VLOOKUP(A22,Nutrients_from_future_land_use!$A$5:$D$21,2,FALSE)))),"")</f>
        <v/>
      </c>
      <c r="F22" s="75"/>
      <c r="G22" s="75"/>
      <c r="H22" s="75"/>
      <c r="I22" s="42" t="str">
        <f t="shared" si="0"/>
        <v/>
      </c>
      <c r="J22" s="42" t="str">
        <f t="shared" si="1"/>
        <v/>
      </c>
      <c r="K22" s="3" t="str">
        <f>IF(SUMIFS($B$4:$B$28,$A$4:$A$28,A22)&gt;SUMIFS(Nutrients_from_future_land_use!$B$5:$B$21,Nutrients_from_future_land_use!$A$5:$A$21,A22),"Area of new land covers within SuDS catchment area exceeds the area of new land covers proposed","")</f>
        <v/>
      </c>
    </row>
    <row r="23" spans="1:11" s="3" customFormat="1" ht="28.5" customHeight="1">
      <c r="A23" s="80"/>
      <c r="B23" s="18"/>
      <c r="C23" s="75"/>
      <c r="D23" s="42" t="str">
        <f>IFERROR(IF(ISBLANK(A23),"",IF(ISBLANK(B23),"",VLOOKUP(A23,Nutrients_from_future_land_use!$A$5:$D$21,3,FALSE)*(B23/VLOOKUP(A23,Nutrients_from_future_land_use!$A$5:$D$21,2,FALSE)))),"")</f>
        <v/>
      </c>
      <c r="E23" s="42" t="str">
        <f>IFERROR(IF(ISBLANK(A23),"",IF(ISBLANK(B23),"",VLOOKUP(A23,Nutrients_from_future_land_use!$A$5:$D$21,4,FALSE)*(B23/VLOOKUP(A23,Nutrients_from_future_land_use!$A$5:$D$21,2,FALSE)))),"")</f>
        <v/>
      </c>
      <c r="F23" s="75"/>
      <c r="G23" s="75"/>
      <c r="H23" s="75"/>
      <c r="I23" s="42" t="str">
        <f t="shared" si="0"/>
        <v/>
      </c>
      <c r="J23" s="42" t="str">
        <f t="shared" si="1"/>
        <v/>
      </c>
      <c r="K23" s="3" t="str">
        <f>IF(SUMIFS($B$4:$B$28,$A$4:$A$28,A23)&gt;SUMIFS(Nutrients_from_future_land_use!$B$5:$B$21,Nutrients_from_future_land_use!$A$5:$A$21,A23),"Area of new land covers within SuDS catchment area exceeds the area of new land covers proposed","")</f>
        <v/>
      </c>
    </row>
    <row r="24" spans="1:11" s="3" customFormat="1" ht="28.5" customHeight="1">
      <c r="A24" s="80"/>
      <c r="B24" s="18"/>
      <c r="C24" s="75"/>
      <c r="D24" s="42" t="str">
        <f>IFERROR(IF(ISBLANK(A24),"",IF(ISBLANK(B24),"",VLOOKUP(A24,Nutrients_from_future_land_use!$A$5:$D$21,3,FALSE)*(B24/VLOOKUP(A24,Nutrients_from_future_land_use!$A$5:$D$21,2,FALSE)))),"")</f>
        <v/>
      </c>
      <c r="E24" s="42" t="str">
        <f>IFERROR(IF(ISBLANK(A24),"",IF(ISBLANK(B24),"",VLOOKUP(A24,Nutrients_from_future_land_use!$A$5:$D$21,4,FALSE)*(B24/VLOOKUP(A24,Nutrients_from_future_land_use!$A$5:$D$21,2,FALSE)))),"")</f>
        <v/>
      </c>
      <c r="F24" s="75"/>
      <c r="G24" s="75"/>
      <c r="H24" s="75"/>
      <c r="I24" s="42" t="str">
        <f t="shared" si="0"/>
        <v/>
      </c>
      <c r="J24" s="42" t="str">
        <f t="shared" si="1"/>
        <v/>
      </c>
      <c r="K24" s="3" t="str">
        <f>IF(SUMIFS($B$4:$B$28,$A$4:$A$28,A24)&gt;SUMIFS(Nutrients_from_future_land_use!$B$5:$B$21,Nutrients_from_future_land_use!$A$5:$A$21,A24),"Area of new land covers within SuDS catchment area exceeds the area of new land covers proposed","")</f>
        <v/>
      </c>
    </row>
    <row r="25" spans="1:11" s="3" customFormat="1" ht="28.5" customHeight="1">
      <c r="A25" s="80"/>
      <c r="B25" s="18"/>
      <c r="C25" s="75"/>
      <c r="D25" s="42" t="str">
        <f>IFERROR(IF(ISBLANK(A25),"",IF(ISBLANK(B25),"",VLOOKUP(A25,Nutrients_from_future_land_use!$A$5:$D$21,3,FALSE)*(B25/VLOOKUP(A25,Nutrients_from_future_land_use!$A$5:$D$21,2,FALSE)))),"")</f>
        <v/>
      </c>
      <c r="E25" s="42" t="str">
        <f>IFERROR(IF(ISBLANK(A25),"",IF(ISBLANK(B25),"",VLOOKUP(A25,Nutrients_from_future_land_use!$A$5:$D$21,4,FALSE)*(B25/VLOOKUP(A25,Nutrients_from_future_land_use!$A$5:$D$21,2,FALSE)))),"")</f>
        <v/>
      </c>
      <c r="F25" s="75"/>
      <c r="G25" s="75"/>
      <c r="H25" s="75"/>
      <c r="I25" s="42" t="str">
        <f t="shared" si="0"/>
        <v/>
      </c>
      <c r="J25" s="42" t="str">
        <f t="shared" si="1"/>
        <v/>
      </c>
      <c r="K25" s="3" t="str">
        <f>IF(SUMIFS($B$4:$B$28,$A$4:$A$28,A25)&gt;SUMIFS(Nutrients_from_future_land_use!$B$5:$B$21,Nutrients_from_future_land_use!$A$5:$A$21,A25),"Area of new land covers within SuDS catchment area exceeds the area of new land covers proposed","")</f>
        <v/>
      </c>
    </row>
    <row r="26" spans="1:11" s="3" customFormat="1" ht="28.5" customHeight="1">
      <c r="A26" s="80"/>
      <c r="B26" s="18"/>
      <c r="C26" s="75"/>
      <c r="D26" s="42" t="str">
        <f>IFERROR(IF(ISBLANK(A26),"",IF(ISBLANK(B26),"",VLOOKUP(A26,Nutrients_from_future_land_use!$A$5:$D$21,3,FALSE)*(B26/VLOOKUP(A26,Nutrients_from_future_land_use!$A$5:$D$21,2,FALSE)))),"")</f>
        <v/>
      </c>
      <c r="E26" s="42" t="str">
        <f>IFERROR(IF(ISBLANK(A26),"",IF(ISBLANK(B26),"",VLOOKUP(A26,Nutrients_from_future_land_use!$A$5:$D$21,4,FALSE)*(B26/VLOOKUP(A26,Nutrients_from_future_land_use!$A$5:$D$21,2,FALSE)))),"")</f>
        <v/>
      </c>
      <c r="F26" s="75"/>
      <c r="G26" s="75"/>
      <c r="H26" s="75"/>
      <c r="I26" s="42" t="str">
        <f t="shared" si="0"/>
        <v/>
      </c>
      <c r="J26" s="42" t="str">
        <f t="shared" si="1"/>
        <v/>
      </c>
      <c r="K26" s="3" t="str">
        <f>IF(SUMIFS($B$4:$B$28,$A$4:$A$28,A26)&gt;SUMIFS(Nutrients_from_future_land_use!$B$5:$B$21,Nutrients_from_future_land_use!$A$5:$A$21,A26),"Area of new land covers within SuDS catchment area exceeds the area of new land covers proposed","")</f>
        <v/>
      </c>
    </row>
    <row r="27" spans="1:11" s="3" customFormat="1" ht="28.5" customHeight="1">
      <c r="A27" s="80"/>
      <c r="B27" s="18"/>
      <c r="C27" s="75"/>
      <c r="D27" s="42" t="str">
        <f>IFERROR(IF(ISBLANK(A27),"",IF(ISBLANK(B27),"",VLOOKUP(A27,Nutrients_from_future_land_use!$A$5:$D$21,3,FALSE)*(B27/VLOOKUP(A27,Nutrients_from_future_land_use!$A$5:$D$21,2,FALSE)))),"")</f>
        <v/>
      </c>
      <c r="E27" s="42" t="str">
        <f>IFERROR(IF(ISBLANK(A27),"",IF(ISBLANK(B27),"",VLOOKUP(A27,Nutrients_from_future_land_use!$A$5:$D$21,4,FALSE)*(B27/VLOOKUP(A27,Nutrients_from_future_land_use!$A$5:$D$21,2,FALSE)))),"")</f>
        <v/>
      </c>
      <c r="F27" s="75"/>
      <c r="G27" s="75"/>
      <c r="H27" s="75"/>
      <c r="I27" s="42" t="str">
        <f t="shared" si="0"/>
        <v/>
      </c>
      <c r="J27" s="42" t="str">
        <f t="shared" si="1"/>
        <v/>
      </c>
      <c r="K27" s="3" t="str">
        <f>IF(SUMIFS($B$4:$B$28,$A$4:$A$28,A27)&gt;SUMIFS(Nutrients_from_future_land_use!$B$5:$B$21,Nutrients_from_future_land_use!$A$5:$A$21,A27),"Area of new land covers within SuDS catchment area exceeds the area of new land covers proposed","")</f>
        <v/>
      </c>
    </row>
    <row r="28" spans="1:11" s="3" customFormat="1" ht="28.5" customHeight="1">
      <c r="A28" s="80"/>
      <c r="B28" s="18"/>
      <c r="C28" s="75"/>
      <c r="D28" s="42" t="str">
        <f>IFERROR(IF(ISBLANK(A28),"",IF(ISBLANK(B28),"",VLOOKUP(A28,Nutrients_from_future_land_use!$A$5:$D$21,3,FALSE)*(B28/VLOOKUP(A28,Nutrients_from_future_land_use!$A$5:$D$21,2,FALSE)))),"")</f>
        <v/>
      </c>
      <c r="E28" s="42" t="str">
        <f>IFERROR(IF(ISBLANK(A28),"",IF(ISBLANK(B28),"",VLOOKUP(A28,Nutrients_from_future_land_use!$A$5:$D$21,4,FALSE)*(B28/VLOOKUP(A28,Nutrients_from_future_land_use!$A$5:$D$21,2,FALSE)))),"")</f>
        <v/>
      </c>
      <c r="F28" s="75"/>
      <c r="G28" s="75"/>
      <c r="H28" s="75"/>
      <c r="I28" s="42" t="str">
        <f t="shared" si="0"/>
        <v/>
      </c>
      <c r="J28" s="42" t="str">
        <f t="shared" si="1"/>
        <v/>
      </c>
      <c r="K28" s="3" t="str">
        <f>IF(SUMIFS($B$4:$B$28,$A$4:$A$28,A28)&gt;SUMIFS(Nutrients_from_future_land_use!$B$5:$B$21,Nutrients_from_future_land_use!$A$5:$A$21,A28),"Area of new land covers within SuDS catchment area exceeds the area of new land covers proposed","")</f>
        <v/>
      </c>
    </row>
    <row r="29" spans="1:11" s="3" customFormat="1" ht="22.5" customHeight="1">
      <c r="A29" s="10" t="s">
        <v>97</v>
      </c>
      <c r="B29" s="76">
        <f>SUM(B4:B28)</f>
        <v>0</v>
      </c>
      <c r="C29" s="76"/>
      <c r="D29" s="76">
        <f t="shared" ref="D29:E29" si="2">SUM(D4:D28)</f>
        <v>0</v>
      </c>
      <c r="E29" s="76">
        <f t="shared" si="2"/>
        <v>0</v>
      </c>
      <c r="F29" s="77"/>
      <c r="G29" s="77"/>
      <c r="H29" s="77"/>
      <c r="I29" s="40">
        <f>SUM(I4:I28)</f>
        <v>0</v>
      </c>
      <c r="J29" s="40">
        <f>SUM(J4:J28)</f>
        <v>0</v>
      </c>
      <c r="K29" s="113" t="str">
        <f>IF(SUMIFS($B$4:$B$28,$A$4:$A$28,A29)&gt;SUMIFS(Nutrients_from_future_land_use!$B$5:$B$21,Nutrients_from_future_land_use!$A$5:$A$21,A29),"Area of new land covers within SuDS catchment area exceeds the area of new land covers proposed","")</f>
        <v/>
      </c>
    </row>
  </sheetData>
  <sheetProtection algorithmName="SHA-512" hashValue="jLYqCQYpy9mUE+eAoQadLDAbGfgr/zRoaPTeWn6B9uF2vPSAsYHnuLcjhn4s6ky8fhdrO4BVsTjiyTqJt0tk0g==" saltValue="WFDbkrV1/WW8krjTUx/b2Q==" spinCount="100000" sheet="1" objects="1" scenarios="1"/>
  <protectedRanges>
    <protectedRange algorithmName="SHA-512" hashValue="MvmTLotpKiuRnedI3A4NjKJPVt4Aw8hcOvmE+D0rBMjM9TiU4ekXkprnHN0k9oVg0inb+CLcUsLFrJxBFcC6uw==" saltValue="93Zg0snhziumGVhjlXa2zg==" spinCount="100000" sqref="A4:A28 B29:E29" name="Range1"/>
    <protectedRange algorithmName="SHA-512" hashValue="MvmTLotpKiuRnedI3A4NjKJPVt4Aw8hcOvmE+D0rBMjM9TiU4ekXkprnHN0k9oVg0inb+CLcUsLFrJxBFcC6uw==" saltValue="93Zg0snhziumGVhjlXa2zg==" spinCount="100000" sqref="B4:C28" name="Range1_1"/>
  </protectedRanges>
  <phoneticPr fontId="8" type="noConversion"/>
  <dataValidations count="4">
    <dataValidation allowBlank="1" showErrorMessage="1" prompt="Please enter area in hectares." sqref="B29:E29" xr:uid="{4F17A0C8-BADF-4DA8-A067-4ABBCFF91399}"/>
    <dataValidation type="decimal" allowBlank="1" showErrorMessage="1" sqref="G4:H28" xr:uid="{71280BD0-17E2-4B70-8A1F-A9E40789C1E4}">
      <formula1>0</formula1>
      <formula2>100</formula2>
    </dataValidation>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_xlfn.ANCHORARRAY(Value_look_up_tables!$A$535)</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election activeCell="A11" sqref="A11"/>
    </sheetView>
  </sheetViews>
  <sheetFormatPr defaultColWidth="9.140625" defaultRowHeight="14.25"/>
  <cols>
    <col min="1" max="1" width="80.5703125" style="41" customWidth="1"/>
    <col min="2" max="4" width="40.5703125" style="41" customWidth="1"/>
    <col min="5" max="466" width="8.5703125" style="41" customWidth="1"/>
    <col min="467" max="16384" width="9.140625" style="41"/>
  </cols>
  <sheetData>
    <row r="1" spans="1:4" ht="30">
      <c r="A1" s="53" t="s">
        <v>115</v>
      </c>
      <c r="B1" s="54"/>
      <c r="C1" s="64"/>
    </row>
    <row r="2" spans="1:4" s="3" customFormat="1" ht="105" customHeight="1">
      <c r="A2" s="3" t="s">
        <v>116</v>
      </c>
      <c r="B2" s="55"/>
    </row>
    <row r="3" spans="1:4" ht="59.1" customHeight="1">
      <c r="A3" s="23" t="s">
        <v>117</v>
      </c>
      <c r="B3" s="43"/>
      <c r="C3" s="3"/>
      <c r="D3" s="3"/>
    </row>
    <row r="4" spans="1:4" s="3" customFormat="1" ht="22.5" customHeight="1">
      <c r="A4" s="62" t="s">
        <v>78</v>
      </c>
      <c r="B4" s="65" t="s">
        <v>79</v>
      </c>
    </row>
    <row r="5" spans="1:4" s="3" customFormat="1" ht="22.5" customHeight="1">
      <c r="A5" s="36" t="s">
        <v>118</v>
      </c>
      <c r="B5" s="66" t="str">
        <f>Nutrients_from_wastewater!B21</f>
        <v/>
      </c>
    </row>
    <row r="6" spans="1:4" s="3" customFormat="1" ht="22.5" customHeight="1">
      <c r="A6" s="9" t="s">
        <v>119</v>
      </c>
      <c r="B6" s="67">
        <f>IFERROR(Nutrients_from_future_land_use!C22-SuDS!I29-Nutrients_from_current_land_use!C28,"")</f>
        <v>0</v>
      </c>
    </row>
    <row r="7" spans="1:4" s="3" customFormat="1" ht="22.5" customHeight="1">
      <c r="A7" s="9" t="s">
        <v>120</v>
      </c>
      <c r="B7" s="57" t="str">
        <f>IFERROR(B5+B6,"")</f>
        <v/>
      </c>
    </row>
    <row r="8" spans="1:4" s="3" customFormat="1" ht="22.5" customHeight="1">
      <c r="A8" s="9" t="s">
        <v>121</v>
      </c>
      <c r="B8" s="57" t="str">
        <f>IFERROR(IF(B7&lt;0,B7,B7*1.2),"")</f>
        <v/>
      </c>
    </row>
    <row r="9" spans="1:4" s="3" customFormat="1" ht="22.5" customHeight="1">
      <c r="A9" s="36" t="s">
        <v>122</v>
      </c>
      <c r="B9" s="66" t="str">
        <f>Nutrients_from_wastewater!B22</f>
        <v/>
      </c>
    </row>
    <row r="10" spans="1:4" s="3" customFormat="1" ht="22.5" customHeight="1">
      <c r="A10" s="9" t="s">
        <v>123</v>
      </c>
      <c r="B10" s="57">
        <f>IFERROR(Nutrients_from_future_land_use!D22-SuDS!J29-Nutrients_from_current_land_use!D28,"")</f>
        <v>0</v>
      </c>
    </row>
    <row r="11" spans="1:4" s="3" customFormat="1" ht="22.5" customHeight="1">
      <c r="A11" s="9" t="s">
        <v>124</v>
      </c>
      <c r="B11" s="57" t="str">
        <f>IFERROR(B9+B10,"")</f>
        <v/>
      </c>
    </row>
    <row r="12" spans="1:4" s="3" customFormat="1" ht="22.5" customHeight="1">
      <c r="A12" s="9" t="s">
        <v>125</v>
      </c>
      <c r="B12" s="57" t="str">
        <f>IFERROR(IF(B11&lt;0,B11,B11*1.2),"")</f>
        <v/>
      </c>
    </row>
    <row r="13" spans="1:4" s="3" customFormat="1" ht="22.5" customHeight="1">
      <c r="A13" s="56" t="str">
        <f>IFERROR(IF(AND(Nutrients_from_wastewater!$B$5&lt;DATE(2025,1,1),OR((VLOOKUP(Nutrients_from_wastewater!$B$9,Value_look_up_tables!$A$5:$E$85,2,FALSE))&gt;(VLOOKUP(Nutrients_from_wastewater!$B$9,Value_look_up_tables!$A$5:$E$85,4,FALSE)),(VLOOKUP(Nutrients_from_wastewater!$B$9,Value_look_up_tables!$A$5:$E$85,3,FALSE))&gt;(VLOOKUP(Nutrients_from_wastewater!$B$9,Value_look_up_tables!$A$5:$E$85,5,FALSE)))),"Post-2030 Annual Nutrient Budget","Annual Nutrient Budget"),"")</f>
        <v/>
      </c>
      <c r="B13" s="82"/>
    </row>
    <row r="14" spans="1:4" s="3" customFormat="1" ht="22.5" customHeight="1">
      <c r="A14" s="36" t="s">
        <v>126</v>
      </c>
      <c r="B14" s="57" t="str">
        <f>IFERROR(IF(ROUND(B8,2)&lt;0,0,ROUND(B8,2)),"")</f>
        <v/>
      </c>
    </row>
    <row r="15" spans="1:4" s="3" customFormat="1" ht="22.5" customHeight="1">
      <c r="A15" s="36" t="s">
        <v>127</v>
      </c>
      <c r="B15" s="57" t="str">
        <f>IFERROR(IF(ROUND(B12,2)&lt;0,0,ROUND(B12,2)),"")</f>
        <v/>
      </c>
    </row>
    <row r="16" spans="1:4" s="3" customFormat="1" ht="22.5" customHeight="1">
      <c r="A16" s="56" t="str">
        <f>IF(Nutrients_from_wastewater!A23="","",LEFT(Nutrients_from_wastewater!A23,9)&amp;"Nutrient Budget")</f>
        <v/>
      </c>
      <c r="B16" s="82"/>
    </row>
    <row r="17" spans="1:3" s="3" customFormat="1" ht="22.5" customHeight="1">
      <c r="A17" s="36" t="str">
        <f>IF(A16&lt;&gt;"","The total annual phosphorus load to mitigate is (kg TP/yr):","")</f>
        <v/>
      </c>
      <c r="B17" s="57" t="str">
        <f>IFERROR(IF(ROUND((Nutrients_from_wastewater!B24+$B$6)*1.2,2)&lt;0,0,ROUND((Nutrients_from_wastewater!B24+$B$6)*1.2,2)),"")</f>
        <v/>
      </c>
    </row>
    <row r="18" spans="1:3" s="3" customFormat="1" ht="22.5" customHeight="1">
      <c r="A18" s="36" t="str">
        <f>IF(A16&lt;&gt;"","The total annual nitrogen load to mitigate is (kg TN/yr):","")</f>
        <v/>
      </c>
      <c r="B18" s="98" t="str">
        <f>IFERROR(IF(ROUND((Nutrients_from_wastewater!B25+$B$10)*1.2,2)&lt;0,0,ROUND((Nutrients_from_wastewater!B25+$B$10)*1.2,2)),"")</f>
        <v/>
      </c>
    </row>
    <row r="19" spans="1:3" s="3" customFormat="1" ht="22.5" customHeight="1">
      <c r="A19" s="56" t="str">
        <f>IF(Nutrients_from_wastewater!A26="","",LEFT(Nutrients_from_wastewater!A26,9)&amp;"Nutrient Budget")</f>
        <v/>
      </c>
      <c r="B19" s="82"/>
    </row>
    <row r="20" spans="1:3" s="3" customFormat="1" ht="22.5" customHeight="1">
      <c r="A20" s="36" t="str">
        <f>IF(A19&lt;&gt;"","The total annual phosphorus load to mitigate is (kg TP/yr):","")</f>
        <v/>
      </c>
      <c r="B20" s="58" t="str">
        <f>IFERROR(IF(Nutrients_from_wastewater!$A$26="","",ROUND((Nutrients_from_wastewater!B27+$B$6)*1.2,2)),IFERROR(B17,""))</f>
        <v/>
      </c>
    </row>
    <row r="21" spans="1:3" s="3" customFormat="1" ht="22.5" customHeight="1">
      <c r="A21" s="60" t="str">
        <f>IF(A19&lt;&gt;"","The total annual nitrogen load to mitigate is (kg TN/yr):","")</f>
        <v/>
      </c>
      <c r="B21" s="59" t="str">
        <f>IFERROR(IF(Nutrients_from_wastewater!$A$26="","",ROUND((Nutrients_from_wastewater!B28+$B$10)*1.2,2)),IFERROR(B18,""))</f>
        <v/>
      </c>
    </row>
    <row r="22" spans="1:3" ht="22.5" customHeight="1">
      <c r="A22" s="61"/>
      <c r="B22" s="40"/>
    </row>
    <row r="23" spans="1:3" ht="15.75">
      <c r="A23" s="61"/>
      <c r="B23" s="40"/>
      <c r="C23" s="43"/>
    </row>
  </sheetData>
  <sheetProtection algorithmName="SHA-512" hashValue="UBb6gi8VV1jozVwWnPT9lZt87jHx06kkpFyeq4lvPksYwDm2Dr+Qw5WUO8nWDcm5en8VNsLr5c6q5q2btem+uQ==" saltValue="F2rMhfMQrRBRUmutFS/NKQ=="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535"/>
  <sheetViews>
    <sheetView zoomScaleNormal="100" workbookViewId="0"/>
  </sheetViews>
  <sheetFormatPr defaultColWidth="65.42578125" defaultRowHeight="14.25"/>
  <cols>
    <col min="1" max="1" width="41" style="87" customWidth="1"/>
    <col min="2" max="4" width="15.7109375" style="87" customWidth="1"/>
    <col min="5" max="5" width="25.7109375" style="87" customWidth="1"/>
    <col min="6" max="6" width="49.85546875" style="87" bestFit="1" customWidth="1"/>
    <col min="7" max="8" width="15.7109375" style="87" customWidth="1"/>
    <col min="9" max="9" width="25.7109375" style="87" customWidth="1"/>
    <col min="10" max="13" width="15.7109375" style="87" customWidth="1"/>
    <col min="14" max="16384" width="65.42578125" style="87"/>
  </cols>
  <sheetData>
    <row r="1" spans="1:14" ht="51" customHeight="1">
      <c r="A1" s="123" t="s">
        <v>11</v>
      </c>
      <c r="B1" s="124"/>
      <c r="C1" s="95"/>
      <c r="D1" s="95"/>
      <c r="E1" s="95"/>
      <c r="F1" s="95"/>
      <c r="G1" s="95"/>
      <c r="H1" s="95"/>
      <c r="I1" s="95"/>
      <c r="J1" s="95"/>
      <c r="K1" s="95"/>
      <c r="L1" s="95"/>
      <c r="M1" s="95"/>
      <c r="N1" s="95"/>
    </row>
    <row r="2" spans="1:14" ht="69.75" customHeight="1">
      <c r="A2" s="94" t="s">
        <v>128</v>
      </c>
    </row>
    <row r="3" spans="1:14" s="118" customFormat="1" ht="37.5" customHeight="1">
      <c r="A3" s="117" t="s">
        <v>129</v>
      </c>
    </row>
    <row r="4" spans="1:14" ht="75.75" customHeight="1">
      <c r="A4" s="26" t="s">
        <v>130</v>
      </c>
      <c r="B4" s="26" t="s">
        <v>131</v>
      </c>
      <c r="C4" s="26" t="s">
        <v>132</v>
      </c>
      <c r="D4" s="26" t="s">
        <v>133</v>
      </c>
      <c r="E4" s="26" t="s">
        <v>134</v>
      </c>
      <c r="F4" s="26" t="s">
        <v>135</v>
      </c>
      <c r="G4" s="26" t="s">
        <v>136</v>
      </c>
      <c r="H4" s="61"/>
      <c r="I4" s="61"/>
      <c r="J4" s="61"/>
      <c r="L4" s="41"/>
      <c r="M4" s="41"/>
    </row>
    <row r="5" spans="1:14">
      <c r="A5" s="41" t="s">
        <v>137</v>
      </c>
      <c r="B5" s="41">
        <v>2</v>
      </c>
      <c r="C5" s="41">
        <v>27</v>
      </c>
      <c r="D5" s="41">
        <v>2</v>
      </c>
      <c r="E5" s="41">
        <v>27</v>
      </c>
      <c r="F5" s="41">
        <v>2</v>
      </c>
      <c r="G5" s="41">
        <v>27</v>
      </c>
      <c r="H5" s="41"/>
      <c r="I5" s="41"/>
      <c r="J5" s="41"/>
      <c r="L5" s="41"/>
      <c r="M5" s="41"/>
    </row>
    <row r="6" spans="1:14">
      <c r="A6" s="41" t="s">
        <v>138</v>
      </c>
      <c r="B6" s="41">
        <v>8</v>
      </c>
      <c r="C6" s="41">
        <v>27</v>
      </c>
      <c r="D6" s="41">
        <v>8</v>
      </c>
      <c r="E6" s="41">
        <v>27</v>
      </c>
      <c r="F6" s="41">
        <v>8</v>
      </c>
      <c r="G6" s="41">
        <v>27</v>
      </c>
      <c r="H6" s="41"/>
      <c r="I6" s="41"/>
      <c r="J6" s="41"/>
      <c r="L6" s="41"/>
      <c r="M6" s="41"/>
    </row>
    <row r="7" spans="1:14">
      <c r="A7" s="41" t="s">
        <v>139</v>
      </c>
      <c r="B7" s="41">
        <v>8</v>
      </c>
      <c r="C7" s="41">
        <v>27</v>
      </c>
      <c r="D7" s="41">
        <v>8</v>
      </c>
      <c r="E7" s="41">
        <v>27</v>
      </c>
      <c r="F7" s="41">
        <v>8</v>
      </c>
      <c r="G7" s="41">
        <v>27</v>
      </c>
      <c r="H7" s="41"/>
      <c r="I7" s="41"/>
      <c r="J7" s="41"/>
      <c r="L7" s="41"/>
      <c r="M7" s="41"/>
    </row>
    <row r="8" spans="1:14">
      <c r="A8" s="41" t="s">
        <v>140</v>
      </c>
      <c r="B8" s="41">
        <v>1</v>
      </c>
      <c r="C8" s="41">
        <v>27</v>
      </c>
      <c r="D8" s="41">
        <v>0.6</v>
      </c>
      <c r="E8" s="41">
        <v>27</v>
      </c>
      <c r="F8" s="41">
        <v>0.25</v>
      </c>
      <c r="G8" s="41">
        <v>10</v>
      </c>
      <c r="H8" s="41"/>
      <c r="I8" s="41"/>
      <c r="J8" s="41"/>
      <c r="L8" s="41"/>
      <c r="M8" s="41"/>
    </row>
    <row r="9" spans="1:14">
      <c r="A9" s="41" t="s">
        <v>141</v>
      </c>
      <c r="B9" s="41">
        <v>8</v>
      </c>
      <c r="C9" s="41">
        <v>27</v>
      </c>
      <c r="D9" s="41">
        <v>8</v>
      </c>
      <c r="E9" s="41">
        <v>27</v>
      </c>
      <c r="F9" s="41">
        <v>8</v>
      </c>
      <c r="G9" s="41">
        <v>27</v>
      </c>
      <c r="H9" s="41"/>
      <c r="I9" s="41"/>
      <c r="J9" s="41"/>
      <c r="L9" s="41"/>
      <c r="M9" s="41"/>
    </row>
    <row r="10" spans="1:14">
      <c r="A10" s="41" t="s">
        <v>142</v>
      </c>
      <c r="B10" s="41">
        <v>8</v>
      </c>
      <c r="C10" s="41">
        <v>27</v>
      </c>
      <c r="D10" s="41">
        <v>8</v>
      </c>
      <c r="E10" s="41">
        <v>27</v>
      </c>
      <c r="F10" s="41">
        <v>8</v>
      </c>
      <c r="G10" s="41">
        <v>27</v>
      </c>
      <c r="H10" s="41"/>
      <c r="I10" s="41"/>
      <c r="J10" s="41"/>
      <c r="L10" s="41"/>
      <c r="M10" s="41"/>
    </row>
    <row r="11" spans="1:14">
      <c r="A11" s="41" t="s">
        <v>143</v>
      </c>
      <c r="B11" s="41">
        <v>8</v>
      </c>
      <c r="C11" s="41">
        <v>27</v>
      </c>
      <c r="D11" s="41">
        <v>8</v>
      </c>
      <c r="E11" s="41">
        <v>27</v>
      </c>
      <c r="F11" s="41">
        <v>8</v>
      </c>
      <c r="G11" s="41">
        <v>27</v>
      </c>
      <c r="H11" s="41"/>
      <c r="I11" s="41"/>
      <c r="J11" s="41"/>
      <c r="L11" s="41"/>
      <c r="M11" s="41"/>
    </row>
    <row r="12" spans="1:14">
      <c r="A12" s="41" t="s">
        <v>144</v>
      </c>
      <c r="B12" s="41">
        <v>1</v>
      </c>
      <c r="C12" s="41">
        <v>27</v>
      </c>
      <c r="D12" s="41">
        <v>1</v>
      </c>
      <c r="E12" s="41">
        <v>27</v>
      </c>
      <c r="F12" s="41">
        <v>0.25</v>
      </c>
      <c r="G12" s="41">
        <v>10</v>
      </c>
      <c r="H12" s="41"/>
      <c r="I12" s="41"/>
      <c r="J12" s="41"/>
      <c r="L12" s="41"/>
      <c r="M12" s="41"/>
    </row>
    <row r="13" spans="1:14">
      <c r="A13" s="41" t="s">
        <v>145</v>
      </c>
      <c r="B13" s="41">
        <v>8</v>
      </c>
      <c r="C13" s="41">
        <v>27</v>
      </c>
      <c r="D13" s="41">
        <v>8</v>
      </c>
      <c r="E13" s="41">
        <v>27</v>
      </c>
      <c r="F13" s="41">
        <v>8</v>
      </c>
      <c r="G13" s="41">
        <v>27</v>
      </c>
      <c r="H13" s="41"/>
      <c r="I13" s="41"/>
      <c r="J13" s="41"/>
      <c r="L13" s="41"/>
      <c r="M13" s="41"/>
    </row>
    <row r="14" spans="1:14">
      <c r="A14" s="41" t="s">
        <v>146</v>
      </c>
      <c r="B14" s="41">
        <v>8</v>
      </c>
      <c r="C14" s="41">
        <v>27</v>
      </c>
      <c r="D14" s="41">
        <v>8</v>
      </c>
      <c r="E14" s="41">
        <v>27</v>
      </c>
      <c r="F14" s="41">
        <v>8</v>
      </c>
      <c r="G14" s="41">
        <v>27</v>
      </c>
      <c r="H14" s="41"/>
      <c r="I14" s="41"/>
      <c r="J14" s="41"/>
      <c r="L14" s="41"/>
      <c r="M14" s="41"/>
    </row>
    <row r="15" spans="1:14">
      <c r="A15" s="41" t="s">
        <v>147</v>
      </c>
      <c r="B15" s="41">
        <v>8</v>
      </c>
      <c r="C15" s="41">
        <v>27</v>
      </c>
      <c r="D15" s="41">
        <v>8</v>
      </c>
      <c r="E15" s="41">
        <v>27</v>
      </c>
      <c r="F15" s="41">
        <v>8</v>
      </c>
      <c r="G15" s="41">
        <v>27</v>
      </c>
      <c r="H15" s="41"/>
      <c r="I15" s="41"/>
      <c r="J15" s="41"/>
      <c r="L15" s="41"/>
      <c r="M15" s="41"/>
    </row>
    <row r="16" spans="1:14">
      <c r="A16" s="41" t="s">
        <v>148</v>
      </c>
      <c r="B16" s="41">
        <v>1</v>
      </c>
      <c r="C16" s="41">
        <v>27</v>
      </c>
      <c r="D16" s="41">
        <v>1</v>
      </c>
      <c r="E16" s="41">
        <v>27</v>
      </c>
      <c r="F16" s="41">
        <v>0.25</v>
      </c>
      <c r="G16" s="41">
        <v>10</v>
      </c>
      <c r="H16" s="41"/>
      <c r="I16" s="41"/>
      <c r="J16" s="41"/>
      <c r="L16" s="41"/>
      <c r="M16" s="41"/>
    </row>
    <row r="17" spans="1:13">
      <c r="A17" s="41" t="s">
        <v>149</v>
      </c>
      <c r="B17" s="41">
        <v>8</v>
      </c>
      <c r="C17" s="41">
        <v>27</v>
      </c>
      <c r="D17" s="41">
        <v>8</v>
      </c>
      <c r="E17" s="41">
        <v>27</v>
      </c>
      <c r="F17" s="41">
        <v>8</v>
      </c>
      <c r="G17" s="41">
        <v>27</v>
      </c>
      <c r="H17" s="41"/>
      <c r="I17" s="41"/>
      <c r="J17" s="41"/>
      <c r="L17" s="41"/>
      <c r="M17" s="41"/>
    </row>
    <row r="18" spans="1:13">
      <c r="A18" s="41" t="s">
        <v>150</v>
      </c>
      <c r="B18" s="41">
        <v>2.5</v>
      </c>
      <c r="C18" s="41">
        <v>27</v>
      </c>
      <c r="D18" s="41">
        <v>2.5</v>
      </c>
      <c r="E18" s="41">
        <v>27</v>
      </c>
      <c r="F18" s="41">
        <v>2.5</v>
      </c>
      <c r="G18" s="41">
        <v>27</v>
      </c>
      <c r="H18" s="41"/>
      <c r="I18" s="41"/>
      <c r="J18" s="41"/>
      <c r="L18" s="41"/>
      <c r="M18" s="41"/>
    </row>
    <row r="19" spans="1:13">
      <c r="A19" s="41" t="s">
        <v>151</v>
      </c>
      <c r="B19" s="41">
        <v>8</v>
      </c>
      <c r="C19" s="41">
        <v>27</v>
      </c>
      <c r="D19" s="41">
        <v>8</v>
      </c>
      <c r="E19" s="41">
        <v>27</v>
      </c>
      <c r="F19" s="41">
        <v>8</v>
      </c>
      <c r="G19" s="41">
        <v>27</v>
      </c>
      <c r="H19" s="41"/>
      <c r="I19" s="41"/>
      <c r="J19" s="41"/>
      <c r="L19" s="41"/>
      <c r="M19" s="41"/>
    </row>
    <row r="20" spans="1:13">
      <c r="A20" s="41" t="s">
        <v>152</v>
      </c>
      <c r="B20" s="41">
        <v>8</v>
      </c>
      <c r="C20" s="41">
        <v>27</v>
      </c>
      <c r="D20" s="41">
        <v>8</v>
      </c>
      <c r="E20" s="41">
        <v>27</v>
      </c>
      <c r="F20" s="41">
        <v>8</v>
      </c>
      <c r="G20" s="41">
        <v>27</v>
      </c>
      <c r="H20" s="41"/>
      <c r="I20" s="41"/>
      <c r="J20" s="41"/>
      <c r="L20" s="41"/>
      <c r="M20" s="41"/>
    </row>
    <row r="21" spans="1:13">
      <c r="A21" s="41" t="s">
        <v>153</v>
      </c>
      <c r="B21" s="41">
        <v>1</v>
      </c>
      <c r="C21" s="41">
        <v>27</v>
      </c>
      <c r="D21" s="41">
        <v>1</v>
      </c>
      <c r="E21" s="41">
        <v>27</v>
      </c>
      <c r="F21" s="41">
        <v>0.25</v>
      </c>
      <c r="G21" s="41">
        <v>10</v>
      </c>
      <c r="H21" s="41"/>
      <c r="I21" s="41"/>
      <c r="J21" s="41"/>
      <c r="L21" s="41"/>
      <c r="M21" s="41"/>
    </row>
    <row r="22" spans="1:13">
      <c r="A22" s="41" t="s">
        <v>154</v>
      </c>
      <c r="B22" s="41">
        <v>8</v>
      </c>
      <c r="C22" s="41">
        <v>27</v>
      </c>
      <c r="D22" s="41">
        <v>8</v>
      </c>
      <c r="E22" s="41">
        <v>27</v>
      </c>
      <c r="F22" s="41">
        <v>8</v>
      </c>
      <c r="G22" s="41">
        <v>27</v>
      </c>
      <c r="H22" s="41"/>
      <c r="I22" s="41"/>
      <c r="J22" s="41"/>
      <c r="L22" s="41"/>
      <c r="M22" s="41"/>
    </row>
    <row r="23" spans="1:13">
      <c r="A23" s="41" t="s">
        <v>155</v>
      </c>
      <c r="B23" s="41">
        <v>8</v>
      </c>
      <c r="C23" s="41">
        <v>27</v>
      </c>
      <c r="D23" s="41">
        <v>8</v>
      </c>
      <c r="E23" s="41">
        <v>27</v>
      </c>
      <c r="F23" s="41">
        <v>8</v>
      </c>
      <c r="G23" s="41">
        <v>27</v>
      </c>
      <c r="H23" s="41"/>
      <c r="I23" s="41"/>
      <c r="J23" s="41"/>
      <c r="L23" s="41"/>
      <c r="M23" s="41"/>
    </row>
    <row r="24" spans="1:13">
      <c r="A24" s="41" t="s">
        <v>156</v>
      </c>
      <c r="B24" s="41">
        <v>8</v>
      </c>
      <c r="C24" s="41">
        <v>27</v>
      </c>
      <c r="D24" s="41">
        <v>8</v>
      </c>
      <c r="E24" s="41">
        <v>27</v>
      </c>
      <c r="F24" s="41">
        <v>8</v>
      </c>
      <c r="G24" s="41">
        <v>27</v>
      </c>
      <c r="H24" s="41"/>
      <c r="I24" s="41"/>
      <c r="J24" s="41"/>
      <c r="L24" s="41"/>
      <c r="M24" s="41"/>
    </row>
    <row r="25" spans="1:13">
      <c r="A25" s="41" t="s">
        <v>157</v>
      </c>
      <c r="B25" s="41">
        <v>1</v>
      </c>
      <c r="C25" s="41">
        <v>27</v>
      </c>
      <c r="D25" s="41">
        <v>1</v>
      </c>
      <c r="E25" s="41">
        <v>27</v>
      </c>
      <c r="F25" s="41">
        <v>1</v>
      </c>
      <c r="G25" s="41">
        <v>27</v>
      </c>
      <c r="H25" s="41"/>
      <c r="I25" s="41"/>
      <c r="J25" s="41"/>
      <c r="L25" s="41"/>
      <c r="M25" s="41"/>
    </row>
    <row r="26" spans="1:13">
      <c r="A26" s="41" t="s">
        <v>158</v>
      </c>
      <c r="B26" s="41">
        <v>8</v>
      </c>
      <c r="C26" s="41">
        <v>27</v>
      </c>
      <c r="D26" s="41">
        <v>8</v>
      </c>
      <c r="E26" s="41">
        <v>27</v>
      </c>
      <c r="F26" s="41">
        <v>8</v>
      </c>
      <c r="G26" s="41">
        <v>27</v>
      </c>
      <c r="H26" s="41"/>
      <c r="I26" s="41"/>
      <c r="J26" s="41"/>
      <c r="L26" s="41"/>
      <c r="M26" s="41"/>
    </row>
    <row r="27" spans="1:13">
      <c r="A27" s="41" t="s">
        <v>159</v>
      </c>
      <c r="B27" s="41">
        <v>8</v>
      </c>
      <c r="C27" s="41">
        <v>27</v>
      </c>
      <c r="D27" s="41">
        <v>8</v>
      </c>
      <c r="E27" s="41">
        <v>27</v>
      </c>
      <c r="F27" s="41">
        <v>8</v>
      </c>
      <c r="G27" s="41">
        <v>27</v>
      </c>
      <c r="H27" s="41"/>
      <c r="I27" s="41"/>
      <c r="J27" s="41"/>
      <c r="L27" s="41"/>
      <c r="M27" s="41"/>
    </row>
    <row r="28" spans="1:13">
      <c r="A28" s="41" t="s">
        <v>160</v>
      </c>
      <c r="B28" s="41">
        <v>1</v>
      </c>
      <c r="C28" s="41">
        <v>27</v>
      </c>
      <c r="D28" s="41">
        <v>1</v>
      </c>
      <c r="E28" s="41">
        <v>27</v>
      </c>
      <c r="F28" s="41">
        <v>1</v>
      </c>
      <c r="G28" s="41">
        <v>27</v>
      </c>
      <c r="H28" s="41"/>
      <c r="I28" s="41"/>
      <c r="J28" s="41"/>
      <c r="L28" s="41"/>
      <c r="M28" s="41"/>
    </row>
    <row r="29" spans="1:13">
      <c r="A29" s="41" t="s">
        <v>161</v>
      </c>
      <c r="B29" s="41">
        <v>8</v>
      </c>
      <c r="C29" s="41">
        <v>27</v>
      </c>
      <c r="D29" s="41">
        <v>8</v>
      </c>
      <c r="E29" s="41">
        <v>27</v>
      </c>
      <c r="F29" s="41">
        <v>8</v>
      </c>
      <c r="G29" s="41">
        <v>27</v>
      </c>
      <c r="H29" s="41"/>
      <c r="I29" s="41"/>
      <c r="J29" s="41"/>
      <c r="L29" s="41"/>
      <c r="M29" s="41"/>
    </row>
    <row r="30" spans="1:13">
      <c r="A30" s="41" t="s">
        <v>162</v>
      </c>
      <c r="B30" s="41">
        <v>8</v>
      </c>
      <c r="C30" s="41">
        <v>27</v>
      </c>
      <c r="D30" s="41">
        <v>8</v>
      </c>
      <c r="E30" s="41">
        <v>27</v>
      </c>
      <c r="F30" s="41">
        <v>0.25</v>
      </c>
      <c r="G30" s="41">
        <v>10</v>
      </c>
      <c r="H30" s="41"/>
      <c r="I30" s="41"/>
      <c r="J30" s="41"/>
      <c r="L30" s="41"/>
      <c r="M30" s="41"/>
    </row>
    <row r="31" spans="1:13">
      <c r="A31" s="41" t="s">
        <v>163</v>
      </c>
      <c r="B31" s="41">
        <v>8</v>
      </c>
      <c r="C31" s="41">
        <v>27</v>
      </c>
      <c r="D31" s="41">
        <v>8</v>
      </c>
      <c r="E31" s="41">
        <v>27</v>
      </c>
      <c r="F31" s="41">
        <v>8</v>
      </c>
      <c r="G31" s="41">
        <v>27</v>
      </c>
      <c r="H31" s="41"/>
      <c r="I31" s="41"/>
      <c r="J31" s="41"/>
      <c r="L31" s="41"/>
      <c r="M31" s="41"/>
    </row>
    <row r="32" spans="1:13">
      <c r="A32" s="41" t="s">
        <v>164</v>
      </c>
      <c r="B32" s="41">
        <v>1</v>
      </c>
      <c r="C32" s="41">
        <v>27</v>
      </c>
      <c r="D32" s="41">
        <v>1</v>
      </c>
      <c r="E32" s="41">
        <v>27</v>
      </c>
      <c r="F32" s="41">
        <v>1</v>
      </c>
      <c r="G32" s="41">
        <v>27</v>
      </c>
      <c r="H32" s="41"/>
      <c r="I32" s="41"/>
      <c r="J32" s="41"/>
      <c r="L32" s="41"/>
      <c r="M32" s="41"/>
    </row>
    <row r="33" spans="1:13">
      <c r="A33" s="41" t="s">
        <v>165</v>
      </c>
      <c r="B33" s="41">
        <v>8</v>
      </c>
      <c r="C33" s="41">
        <v>27</v>
      </c>
      <c r="D33" s="41">
        <v>8</v>
      </c>
      <c r="E33" s="41">
        <v>27</v>
      </c>
      <c r="F33" s="41">
        <v>8</v>
      </c>
      <c r="G33" s="41">
        <v>27</v>
      </c>
      <c r="H33" s="41"/>
      <c r="I33" s="41"/>
      <c r="J33" s="41"/>
      <c r="L33" s="41"/>
      <c r="M33" s="41"/>
    </row>
    <row r="34" spans="1:13">
      <c r="A34" s="41" t="s">
        <v>166</v>
      </c>
      <c r="B34" s="41">
        <v>8</v>
      </c>
      <c r="C34" s="41">
        <v>27</v>
      </c>
      <c r="D34" s="41">
        <v>8</v>
      </c>
      <c r="E34" s="41">
        <v>27</v>
      </c>
      <c r="F34" s="41">
        <v>8</v>
      </c>
      <c r="G34" s="41">
        <v>27</v>
      </c>
      <c r="H34" s="41"/>
      <c r="I34" s="41"/>
      <c r="J34" s="41"/>
      <c r="L34" s="41"/>
      <c r="M34" s="41"/>
    </row>
    <row r="35" spans="1:13">
      <c r="A35" s="41" t="s">
        <v>167</v>
      </c>
      <c r="B35" s="41">
        <v>8</v>
      </c>
      <c r="C35" s="41">
        <v>27</v>
      </c>
      <c r="D35" s="41">
        <v>8</v>
      </c>
      <c r="E35" s="41">
        <v>27</v>
      </c>
      <c r="F35" s="41">
        <v>8</v>
      </c>
      <c r="G35" s="41">
        <v>27</v>
      </c>
      <c r="H35" s="41"/>
      <c r="I35" s="41"/>
      <c r="J35" s="41"/>
      <c r="L35" s="41"/>
      <c r="M35" s="41"/>
    </row>
    <row r="36" spans="1:13">
      <c r="A36" s="41" t="s">
        <v>168</v>
      </c>
      <c r="B36" s="41">
        <v>8</v>
      </c>
      <c r="C36" s="41">
        <v>27</v>
      </c>
      <c r="D36" s="41">
        <v>8</v>
      </c>
      <c r="E36" s="41">
        <v>27</v>
      </c>
      <c r="F36" s="41">
        <v>8</v>
      </c>
      <c r="G36" s="41">
        <v>27</v>
      </c>
      <c r="H36" s="41"/>
      <c r="I36" s="41"/>
      <c r="J36" s="41"/>
      <c r="L36" s="41"/>
      <c r="M36" s="41"/>
    </row>
    <row r="37" spans="1:13">
      <c r="A37" s="41" t="s">
        <v>169</v>
      </c>
      <c r="B37" s="41">
        <v>8</v>
      </c>
      <c r="C37" s="41">
        <v>27</v>
      </c>
      <c r="D37" s="41">
        <v>8</v>
      </c>
      <c r="E37" s="41">
        <v>27</v>
      </c>
      <c r="F37" s="41">
        <v>8</v>
      </c>
      <c r="G37" s="41">
        <v>27</v>
      </c>
      <c r="H37" s="41"/>
      <c r="I37" s="41"/>
      <c r="J37" s="41"/>
      <c r="L37" s="41"/>
      <c r="M37" s="41"/>
    </row>
    <row r="38" spans="1:13">
      <c r="A38" s="41" t="s">
        <v>170</v>
      </c>
      <c r="B38" s="41">
        <v>8</v>
      </c>
      <c r="C38" s="41">
        <v>27</v>
      </c>
      <c r="D38" s="41">
        <v>8</v>
      </c>
      <c r="E38" s="41">
        <v>27</v>
      </c>
      <c r="F38" s="41">
        <v>8</v>
      </c>
      <c r="G38" s="41">
        <v>27</v>
      </c>
      <c r="H38" s="41"/>
      <c r="I38" s="41"/>
      <c r="J38" s="41"/>
      <c r="L38" s="41"/>
      <c r="M38" s="41"/>
    </row>
    <row r="39" spans="1:13">
      <c r="A39" s="41" t="s">
        <v>171</v>
      </c>
      <c r="B39" s="41">
        <v>8</v>
      </c>
      <c r="C39" s="41">
        <v>27</v>
      </c>
      <c r="D39" s="41">
        <v>8</v>
      </c>
      <c r="E39" s="41">
        <v>27</v>
      </c>
      <c r="F39" s="41">
        <v>8</v>
      </c>
      <c r="G39" s="41">
        <v>27</v>
      </c>
      <c r="H39" s="41"/>
      <c r="I39" s="41"/>
      <c r="J39" s="41"/>
      <c r="L39" s="41"/>
      <c r="M39" s="41"/>
    </row>
    <row r="40" spans="1:13">
      <c r="A40" s="41" t="s">
        <v>172</v>
      </c>
      <c r="B40" s="41">
        <v>8</v>
      </c>
      <c r="C40" s="41">
        <v>27</v>
      </c>
      <c r="D40" s="41">
        <v>8</v>
      </c>
      <c r="E40" s="41">
        <v>27</v>
      </c>
      <c r="F40" s="41">
        <v>8</v>
      </c>
      <c r="G40" s="41">
        <v>27</v>
      </c>
      <c r="H40" s="41"/>
      <c r="I40" s="41"/>
      <c r="J40" s="41"/>
      <c r="L40" s="41"/>
      <c r="M40" s="41"/>
    </row>
    <row r="41" spans="1:13">
      <c r="A41" s="41" t="s">
        <v>173</v>
      </c>
      <c r="B41" s="41">
        <v>8</v>
      </c>
      <c r="C41" s="41">
        <v>27</v>
      </c>
      <c r="D41" s="41">
        <v>8</v>
      </c>
      <c r="E41" s="41">
        <v>27</v>
      </c>
      <c r="F41" s="41">
        <v>0.25</v>
      </c>
      <c r="G41" s="41">
        <v>10</v>
      </c>
      <c r="H41" s="41"/>
      <c r="I41" s="41"/>
      <c r="J41" s="41"/>
      <c r="L41" s="41"/>
      <c r="M41" s="41"/>
    </row>
    <row r="42" spans="1:13">
      <c r="A42" s="41" t="s">
        <v>174</v>
      </c>
      <c r="B42" s="41">
        <v>8</v>
      </c>
      <c r="C42" s="41">
        <v>27</v>
      </c>
      <c r="D42" s="41">
        <v>8</v>
      </c>
      <c r="E42" s="41">
        <v>27</v>
      </c>
      <c r="F42" s="41">
        <v>8</v>
      </c>
      <c r="G42" s="41">
        <v>27</v>
      </c>
      <c r="H42" s="41"/>
      <c r="I42" s="41"/>
      <c r="J42" s="41"/>
      <c r="L42" s="41"/>
      <c r="M42" s="41"/>
    </row>
    <row r="43" spans="1:13">
      <c r="A43" s="41" t="s">
        <v>175</v>
      </c>
      <c r="B43" s="41">
        <v>8</v>
      </c>
      <c r="C43" s="41">
        <v>27</v>
      </c>
      <c r="D43" s="41">
        <v>8</v>
      </c>
      <c r="E43" s="41">
        <v>27</v>
      </c>
      <c r="F43" s="41">
        <v>8</v>
      </c>
      <c r="G43" s="41">
        <v>27</v>
      </c>
      <c r="H43" s="41"/>
      <c r="I43" s="41"/>
      <c r="J43" s="41"/>
      <c r="L43" s="41"/>
      <c r="M43" s="41"/>
    </row>
    <row r="44" spans="1:13">
      <c r="A44" s="41" t="s">
        <v>176</v>
      </c>
      <c r="B44" s="41">
        <v>8</v>
      </c>
      <c r="C44" s="41">
        <v>27</v>
      </c>
      <c r="D44" s="41">
        <v>8</v>
      </c>
      <c r="E44" s="41">
        <v>27</v>
      </c>
      <c r="F44" s="41">
        <v>8</v>
      </c>
      <c r="G44" s="41">
        <v>27</v>
      </c>
      <c r="H44" s="41"/>
      <c r="I44" s="41"/>
      <c r="J44" s="41"/>
      <c r="L44" s="41"/>
      <c r="M44" s="41"/>
    </row>
    <row r="45" spans="1:13">
      <c r="A45" s="41" t="s">
        <v>177</v>
      </c>
      <c r="B45" s="41">
        <v>8</v>
      </c>
      <c r="C45" s="41">
        <v>27</v>
      </c>
      <c r="D45" s="41">
        <v>8</v>
      </c>
      <c r="E45" s="41">
        <v>27</v>
      </c>
      <c r="F45" s="41">
        <v>8</v>
      </c>
      <c r="G45" s="41">
        <v>27</v>
      </c>
      <c r="H45" s="41"/>
      <c r="I45" s="41"/>
      <c r="J45" s="41"/>
      <c r="L45" s="41"/>
      <c r="M45" s="41"/>
    </row>
    <row r="46" spans="1:13">
      <c r="A46" s="41" t="s">
        <v>178</v>
      </c>
      <c r="B46" s="41">
        <v>8</v>
      </c>
      <c r="C46" s="41">
        <v>27</v>
      </c>
      <c r="D46" s="41">
        <v>8</v>
      </c>
      <c r="E46" s="41">
        <v>27</v>
      </c>
      <c r="F46" s="41">
        <v>8</v>
      </c>
      <c r="G46" s="41">
        <v>27</v>
      </c>
      <c r="H46" s="41"/>
      <c r="I46" s="41"/>
      <c r="J46" s="41"/>
      <c r="L46" s="41"/>
      <c r="M46" s="41"/>
    </row>
    <row r="47" spans="1:13">
      <c r="A47" s="41" t="s">
        <v>179</v>
      </c>
      <c r="B47" s="41">
        <v>8</v>
      </c>
      <c r="C47" s="41">
        <v>27</v>
      </c>
      <c r="D47" s="41">
        <v>8</v>
      </c>
      <c r="E47" s="41">
        <v>27</v>
      </c>
      <c r="F47" s="41">
        <v>8</v>
      </c>
      <c r="G47" s="41">
        <v>27</v>
      </c>
      <c r="H47" s="41"/>
      <c r="I47" s="41"/>
      <c r="J47" s="41"/>
      <c r="L47" s="41"/>
      <c r="M47" s="41"/>
    </row>
    <row r="48" spans="1:13">
      <c r="A48" s="41" t="s">
        <v>180</v>
      </c>
      <c r="B48" s="41">
        <v>1</v>
      </c>
      <c r="C48" s="41">
        <v>27</v>
      </c>
      <c r="D48" s="41">
        <v>1</v>
      </c>
      <c r="E48" s="41">
        <v>27</v>
      </c>
      <c r="F48" s="41">
        <v>0.25</v>
      </c>
      <c r="G48" s="41">
        <v>10</v>
      </c>
      <c r="H48" s="41"/>
      <c r="I48" s="41"/>
      <c r="J48" s="41"/>
      <c r="L48" s="41"/>
      <c r="M48" s="41"/>
    </row>
    <row r="49" spans="1:13">
      <c r="A49" s="41" t="s">
        <v>181</v>
      </c>
      <c r="B49" s="41">
        <v>1</v>
      </c>
      <c r="C49" s="41">
        <v>27</v>
      </c>
      <c r="D49" s="41">
        <v>1</v>
      </c>
      <c r="E49" s="41">
        <v>27</v>
      </c>
      <c r="F49" s="41">
        <v>0.25</v>
      </c>
      <c r="G49" s="41">
        <v>10</v>
      </c>
      <c r="H49" s="41"/>
      <c r="I49" s="41"/>
      <c r="J49" s="41"/>
      <c r="L49" s="41"/>
      <c r="M49" s="41"/>
    </row>
    <row r="50" spans="1:13">
      <c r="A50" s="41" t="s">
        <v>182</v>
      </c>
      <c r="B50" s="41">
        <v>8</v>
      </c>
      <c r="C50" s="41">
        <v>27</v>
      </c>
      <c r="D50" s="41">
        <v>8</v>
      </c>
      <c r="E50" s="41">
        <v>27</v>
      </c>
      <c r="F50" s="41">
        <v>0.25</v>
      </c>
      <c r="G50" s="41">
        <v>10</v>
      </c>
      <c r="H50" s="41"/>
      <c r="I50" s="41"/>
      <c r="J50" s="41"/>
      <c r="L50" s="41"/>
      <c r="M50" s="41"/>
    </row>
    <row r="51" spans="1:13">
      <c r="A51" s="41" t="s">
        <v>183</v>
      </c>
      <c r="B51" s="41">
        <v>1</v>
      </c>
      <c r="C51" s="41">
        <v>27</v>
      </c>
      <c r="D51" s="41">
        <v>1</v>
      </c>
      <c r="E51" s="41">
        <v>27</v>
      </c>
      <c r="F51" s="41">
        <v>1</v>
      </c>
      <c r="G51" s="41">
        <v>27</v>
      </c>
      <c r="H51" s="41"/>
      <c r="I51" s="41"/>
      <c r="J51" s="41"/>
      <c r="L51" s="41"/>
      <c r="M51" s="41"/>
    </row>
    <row r="52" spans="1:13">
      <c r="A52" s="41" t="s">
        <v>184</v>
      </c>
      <c r="B52" s="41">
        <v>8</v>
      </c>
      <c r="C52" s="41">
        <v>27</v>
      </c>
      <c r="D52" s="41">
        <v>8</v>
      </c>
      <c r="E52" s="41">
        <v>27</v>
      </c>
      <c r="F52" s="41">
        <v>8</v>
      </c>
      <c r="G52" s="41">
        <v>27</v>
      </c>
      <c r="H52" s="41"/>
      <c r="I52" s="41"/>
      <c r="J52" s="41"/>
      <c r="L52" s="41"/>
      <c r="M52" s="41"/>
    </row>
    <row r="53" spans="1:13">
      <c r="A53" s="41" t="s">
        <v>185</v>
      </c>
      <c r="B53" s="41">
        <v>2</v>
      </c>
      <c r="C53" s="41">
        <v>27</v>
      </c>
      <c r="D53" s="41">
        <v>2</v>
      </c>
      <c r="E53" s="41">
        <v>27</v>
      </c>
      <c r="F53" s="41">
        <v>2</v>
      </c>
      <c r="G53" s="41">
        <v>27</v>
      </c>
      <c r="H53" s="41"/>
      <c r="I53" s="41"/>
      <c r="J53" s="41"/>
      <c r="L53" s="41"/>
      <c r="M53" s="41"/>
    </row>
    <row r="54" spans="1:13">
      <c r="A54" s="41" t="s">
        <v>186</v>
      </c>
      <c r="B54" s="41">
        <v>1</v>
      </c>
      <c r="C54" s="41">
        <v>27</v>
      </c>
      <c r="D54" s="41">
        <v>1</v>
      </c>
      <c r="E54" s="41">
        <v>27</v>
      </c>
      <c r="F54" s="41">
        <v>1</v>
      </c>
      <c r="G54" s="41">
        <v>27</v>
      </c>
      <c r="H54" s="41"/>
      <c r="I54" s="41"/>
      <c r="J54" s="41"/>
      <c r="L54" s="41"/>
      <c r="M54" s="41"/>
    </row>
    <row r="55" spans="1:13">
      <c r="A55" s="41" t="s">
        <v>187</v>
      </c>
      <c r="B55" s="41">
        <v>8</v>
      </c>
      <c r="C55" s="41">
        <v>27</v>
      </c>
      <c r="D55" s="41">
        <v>8</v>
      </c>
      <c r="E55" s="41">
        <v>27</v>
      </c>
      <c r="F55" s="41">
        <v>8</v>
      </c>
      <c r="G55" s="41">
        <v>27</v>
      </c>
      <c r="H55" s="41"/>
      <c r="I55" s="41"/>
      <c r="J55" s="41"/>
      <c r="L55" s="41"/>
      <c r="M55" s="41"/>
    </row>
    <row r="56" spans="1:13">
      <c r="A56" s="41" t="s">
        <v>188</v>
      </c>
      <c r="B56" s="41">
        <v>2</v>
      </c>
      <c r="C56" s="41">
        <v>27</v>
      </c>
      <c r="D56" s="41">
        <v>2</v>
      </c>
      <c r="E56" s="41">
        <v>27</v>
      </c>
      <c r="F56" s="41">
        <v>2</v>
      </c>
      <c r="G56" s="41">
        <v>27</v>
      </c>
      <c r="H56" s="41"/>
      <c r="I56" s="41"/>
      <c r="J56" s="41"/>
      <c r="L56" s="41"/>
      <c r="M56" s="41"/>
    </row>
    <row r="57" spans="1:13">
      <c r="A57" s="41" t="s">
        <v>189</v>
      </c>
      <c r="B57" s="41">
        <v>8</v>
      </c>
      <c r="C57" s="41">
        <v>27</v>
      </c>
      <c r="D57" s="41">
        <v>8</v>
      </c>
      <c r="E57" s="41">
        <v>27</v>
      </c>
      <c r="F57" s="41">
        <v>0.25</v>
      </c>
      <c r="G57" s="41">
        <v>10</v>
      </c>
      <c r="H57" s="41"/>
      <c r="I57" s="41"/>
      <c r="J57" s="41"/>
      <c r="L57" s="41"/>
      <c r="M57" s="41"/>
    </row>
    <row r="58" spans="1:13">
      <c r="A58" s="41" t="s">
        <v>190</v>
      </c>
      <c r="B58" s="41">
        <v>8</v>
      </c>
      <c r="C58" s="41">
        <v>27</v>
      </c>
      <c r="D58" s="41">
        <v>8</v>
      </c>
      <c r="E58" s="41">
        <v>27</v>
      </c>
      <c r="F58" s="41">
        <v>8</v>
      </c>
      <c r="G58" s="41">
        <v>27</v>
      </c>
      <c r="H58" s="41"/>
      <c r="I58" s="41"/>
      <c r="J58" s="41"/>
      <c r="L58" s="41"/>
      <c r="M58" s="41"/>
    </row>
    <row r="59" spans="1:13">
      <c r="A59" s="41" t="s">
        <v>191</v>
      </c>
      <c r="B59" s="41">
        <v>1</v>
      </c>
      <c r="C59" s="41">
        <v>27</v>
      </c>
      <c r="D59" s="41">
        <v>1</v>
      </c>
      <c r="E59" s="41">
        <v>27</v>
      </c>
      <c r="F59" s="41">
        <v>1</v>
      </c>
      <c r="G59" s="41">
        <v>27</v>
      </c>
      <c r="H59" s="41"/>
      <c r="I59" s="41"/>
      <c r="J59" s="41"/>
      <c r="L59" s="41"/>
      <c r="M59" s="41"/>
    </row>
    <row r="60" spans="1:13">
      <c r="A60" s="41" t="s">
        <v>192</v>
      </c>
      <c r="B60" s="41">
        <v>8</v>
      </c>
      <c r="C60" s="41">
        <v>27</v>
      </c>
      <c r="D60" s="41">
        <v>8</v>
      </c>
      <c r="E60" s="41">
        <v>27</v>
      </c>
      <c r="F60" s="41">
        <v>0.25</v>
      </c>
      <c r="G60" s="41">
        <v>10</v>
      </c>
      <c r="H60" s="41"/>
      <c r="I60" s="41"/>
      <c r="J60" s="41"/>
      <c r="L60" s="41"/>
      <c r="M60" s="41"/>
    </row>
    <row r="61" spans="1:13">
      <c r="A61" s="41" t="s">
        <v>193</v>
      </c>
      <c r="B61" s="41">
        <v>8</v>
      </c>
      <c r="C61" s="41">
        <v>27</v>
      </c>
      <c r="D61" s="41">
        <v>8</v>
      </c>
      <c r="E61" s="41">
        <v>27</v>
      </c>
      <c r="F61" s="41">
        <v>8</v>
      </c>
      <c r="G61" s="41">
        <v>27</v>
      </c>
      <c r="H61" s="41"/>
      <c r="I61" s="41"/>
      <c r="J61" s="41"/>
      <c r="L61" s="41"/>
      <c r="M61" s="41"/>
    </row>
    <row r="62" spans="1:13">
      <c r="A62" s="41" t="s">
        <v>194</v>
      </c>
      <c r="B62" s="41">
        <v>8</v>
      </c>
      <c r="C62" s="41">
        <v>27</v>
      </c>
      <c r="D62" s="41">
        <v>8</v>
      </c>
      <c r="E62" s="41">
        <v>27</v>
      </c>
      <c r="F62" s="41">
        <v>8</v>
      </c>
      <c r="G62" s="41">
        <v>27</v>
      </c>
      <c r="H62" s="41"/>
      <c r="I62" s="41"/>
      <c r="J62" s="41"/>
      <c r="L62" s="41"/>
      <c r="M62" s="41"/>
    </row>
    <row r="63" spans="1:13">
      <c r="A63" s="41" t="s">
        <v>195</v>
      </c>
      <c r="B63" s="41">
        <v>8</v>
      </c>
      <c r="C63" s="41">
        <v>27</v>
      </c>
      <c r="D63" s="41">
        <v>8</v>
      </c>
      <c r="E63" s="41">
        <v>27</v>
      </c>
      <c r="F63" s="41">
        <v>8</v>
      </c>
      <c r="G63" s="41">
        <v>27</v>
      </c>
      <c r="H63" s="41"/>
      <c r="I63" s="41"/>
      <c r="J63" s="41"/>
      <c r="L63" s="41"/>
      <c r="M63" s="41"/>
    </row>
    <row r="64" spans="1:13">
      <c r="A64" s="41" t="s">
        <v>196</v>
      </c>
      <c r="B64" s="41">
        <v>8</v>
      </c>
      <c r="C64" s="41">
        <v>27</v>
      </c>
      <c r="D64" s="41">
        <v>8</v>
      </c>
      <c r="E64" s="41">
        <v>27</v>
      </c>
      <c r="F64" s="41">
        <v>8</v>
      </c>
      <c r="G64" s="41">
        <v>27</v>
      </c>
      <c r="H64" s="41"/>
      <c r="I64" s="41"/>
      <c r="J64" s="41"/>
      <c r="L64" s="41"/>
      <c r="M64" s="41"/>
    </row>
    <row r="65" spans="1:13">
      <c r="A65" s="41" t="s">
        <v>197</v>
      </c>
      <c r="B65" s="41">
        <v>8</v>
      </c>
      <c r="C65" s="41">
        <v>27</v>
      </c>
      <c r="D65" s="41">
        <v>8</v>
      </c>
      <c r="E65" s="41">
        <v>27</v>
      </c>
      <c r="F65" s="41">
        <v>8</v>
      </c>
      <c r="G65" s="41">
        <v>27</v>
      </c>
      <c r="H65" s="41"/>
      <c r="I65" s="41"/>
      <c r="J65" s="41"/>
      <c r="L65" s="41"/>
      <c r="M65" s="41"/>
    </row>
    <row r="66" spans="1:13">
      <c r="A66" s="41" t="s">
        <v>198</v>
      </c>
      <c r="B66" s="41">
        <v>3</v>
      </c>
      <c r="C66" s="41">
        <v>27</v>
      </c>
      <c r="D66" s="41">
        <v>0.8</v>
      </c>
      <c r="E66" s="41">
        <v>27</v>
      </c>
      <c r="F66" s="41">
        <v>0.8</v>
      </c>
      <c r="G66" s="41">
        <v>27</v>
      </c>
      <c r="H66" s="41"/>
      <c r="I66" s="41"/>
      <c r="J66" s="41"/>
      <c r="L66" s="41"/>
      <c r="M66" s="41"/>
    </row>
    <row r="67" spans="1:13">
      <c r="A67" s="41" t="s">
        <v>199</v>
      </c>
      <c r="B67" s="41">
        <v>8</v>
      </c>
      <c r="C67" s="41">
        <v>27</v>
      </c>
      <c r="D67" s="41">
        <v>8</v>
      </c>
      <c r="E67" s="41">
        <v>27</v>
      </c>
      <c r="F67" s="41">
        <v>8</v>
      </c>
      <c r="G67" s="41">
        <v>27</v>
      </c>
      <c r="H67" s="41"/>
      <c r="I67" s="41"/>
      <c r="J67" s="41"/>
      <c r="L67" s="41"/>
      <c r="M67" s="41"/>
    </row>
    <row r="68" spans="1:13">
      <c r="A68" s="41" t="s">
        <v>200</v>
      </c>
      <c r="B68" s="41">
        <v>8</v>
      </c>
      <c r="C68" s="41">
        <v>27</v>
      </c>
      <c r="D68" s="41">
        <v>8</v>
      </c>
      <c r="E68" s="41">
        <v>27</v>
      </c>
      <c r="F68" s="41">
        <v>8</v>
      </c>
      <c r="G68" s="41">
        <v>27</v>
      </c>
      <c r="H68" s="41"/>
      <c r="I68" s="41"/>
      <c r="J68" s="41"/>
      <c r="L68" s="41"/>
      <c r="M68" s="41"/>
    </row>
    <row r="69" spans="1:13">
      <c r="A69" s="41" t="s">
        <v>201</v>
      </c>
      <c r="B69" s="41">
        <v>1</v>
      </c>
      <c r="C69" s="41">
        <v>27</v>
      </c>
      <c r="D69" s="41">
        <v>1</v>
      </c>
      <c r="E69" s="41">
        <v>27</v>
      </c>
      <c r="F69" s="41">
        <v>0.25</v>
      </c>
      <c r="G69" s="41">
        <v>10</v>
      </c>
      <c r="H69" s="41"/>
      <c r="I69" s="41"/>
      <c r="J69" s="41"/>
      <c r="L69" s="41"/>
      <c r="M69" s="41"/>
    </row>
    <row r="70" spans="1:13">
      <c r="A70" s="41" t="s">
        <v>202</v>
      </c>
      <c r="B70" s="41">
        <v>8</v>
      </c>
      <c r="C70" s="41">
        <v>27</v>
      </c>
      <c r="D70" s="41">
        <v>8</v>
      </c>
      <c r="E70" s="41">
        <v>27</v>
      </c>
      <c r="F70" s="41">
        <v>8</v>
      </c>
      <c r="G70" s="41">
        <v>27</v>
      </c>
      <c r="H70" s="41"/>
      <c r="I70" s="41"/>
      <c r="J70" s="41"/>
      <c r="L70" s="41"/>
      <c r="M70" s="41"/>
    </row>
    <row r="71" spans="1:13">
      <c r="A71" s="41" t="s">
        <v>203</v>
      </c>
      <c r="B71" s="41">
        <v>8</v>
      </c>
      <c r="C71" s="41">
        <v>27</v>
      </c>
      <c r="D71" s="41">
        <v>8</v>
      </c>
      <c r="E71" s="41">
        <v>27</v>
      </c>
      <c r="F71" s="41">
        <v>8</v>
      </c>
      <c r="G71" s="41">
        <v>27</v>
      </c>
      <c r="H71" s="41"/>
      <c r="I71" s="41"/>
      <c r="J71" s="41"/>
      <c r="L71" s="41"/>
      <c r="M71" s="41"/>
    </row>
    <row r="72" spans="1:13">
      <c r="A72" s="41" t="s">
        <v>204</v>
      </c>
      <c r="B72" s="41">
        <v>8</v>
      </c>
      <c r="C72" s="41">
        <v>27</v>
      </c>
      <c r="D72" s="41">
        <v>8</v>
      </c>
      <c r="E72" s="41">
        <v>27</v>
      </c>
      <c r="F72" s="41">
        <v>8</v>
      </c>
      <c r="G72" s="41">
        <v>27</v>
      </c>
      <c r="H72" s="41"/>
      <c r="I72" s="41"/>
      <c r="J72" s="41"/>
      <c r="L72" s="41"/>
      <c r="M72" s="41"/>
    </row>
    <row r="73" spans="1:13">
      <c r="A73" s="41" t="s">
        <v>205</v>
      </c>
      <c r="B73" s="41">
        <v>8</v>
      </c>
      <c r="C73" s="41">
        <v>27</v>
      </c>
      <c r="D73" s="41">
        <v>8</v>
      </c>
      <c r="E73" s="41">
        <v>27</v>
      </c>
      <c r="F73" s="41">
        <v>8</v>
      </c>
      <c r="G73" s="41">
        <v>27</v>
      </c>
      <c r="H73" s="41"/>
      <c r="I73" s="41"/>
      <c r="J73" s="41"/>
      <c r="L73" s="41"/>
      <c r="M73" s="41"/>
    </row>
    <row r="74" spans="1:13">
      <c r="A74" s="41" t="s">
        <v>206</v>
      </c>
      <c r="B74" s="41">
        <v>2</v>
      </c>
      <c r="C74" s="41">
        <v>27</v>
      </c>
      <c r="D74" s="41">
        <v>2</v>
      </c>
      <c r="E74" s="41">
        <v>27</v>
      </c>
      <c r="F74" s="41">
        <v>2</v>
      </c>
      <c r="G74" s="41">
        <v>27</v>
      </c>
      <c r="H74" s="41"/>
      <c r="I74" s="41"/>
      <c r="J74" s="41"/>
      <c r="L74" s="41"/>
      <c r="M74" s="41"/>
    </row>
    <row r="75" spans="1:13">
      <c r="A75" s="41" t="s">
        <v>207</v>
      </c>
      <c r="B75" s="41">
        <v>8</v>
      </c>
      <c r="C75" s="41">
        <v>27</v>
      </c>
      <c r="D75" s="41">
        <v>8</v>
      </c>
      <c r="E75" s="41">
        <v>27</v>
      </c>
      <c r="F75" s="41">
        <v>8</v>
      </c>
      <c r="G75" s="41">
        <v>27</v>
      </c>
      <c r="H75" s="41"/>
      <c r="I75" s="41"/>
      <c r="J75" s="41"/>
      <c r="L75" s="41"/>
      <c r="M75" s="41"/>
    </row>
    <row r="76" spans="1:13">
      <c r="A76" s="41" t="s">
        <v>208</v>
      </c>
      <c r="B76" s="41">
        <v>8</v>
      </c>
      <c r="C76" s="41">
        <v>27</v>
      </c>
      <c r="D76" s="41">
        <v>0.4</v>
      </c>
      <c r="E76" s="41">
        <v>27</v>
      </c>
      <c r="F76" s="41">
        <v>0.25</v>
      </c>
      <c r="G76" s="41">
        <v>10</v>
      </c>
      <c r="H76" s="41"/>
      <c r="I76" s="41"/>
      <c r="J76" s="41"/>
      <c r="L76" s="41"/>
      <c r="M76" s="41"/>
    </row>
    <row r="77" spans="1:13">
      <c r="A77" s="41" t="s">
        <v>209</v>
      </c>
      <c r="B77" s="41">
        <v>8</v>
      </c>
      <c r="C77" s="41">
        <v>27</v>
      </c>
      <c r="D77" s="41">
        <v>8</v>
      </c>
      <c r="E77" s="41">
        <v>27</v>
      </c>
      <c r="F77" s="41">
        <v>8</v>
      </c>
      <c r="G77" s="41">
        <v>27</v>
      </c>
      <c r="H77" s="41"/>
      <c r="I77" s="41"/>
      <c r="J77" s="41"/>
      <c r="L77" s="41"/>
      <c r="M77" s="41"/>
    </row>
    <row r="78" spans="1:13">
      <c r="A78" s="41" t="s">
        <v>210</v>
      </c>
      <c r="B78" s="41">
        <v>8</v>
      </c>
      <c r="C78" s="41">
        <v>27</v>
      </c>
      <c r="D78" s="41">
        <v>8</v>
      </c>
      <c r="E78" s="41">
        <v>27</v>
      </c>
      <c r="F78" s="41">
        <v>8</v>
      </c>
      <c r="G78" s="41">
        <v>27</v>
      </c>
      <c r="H78" s="41"/>
      <c r="I78" s="41"/>
      <c r="J78" s="41"/>
      <c r="L78" s="41"/>
      <c r="M78" s="41"/>
    </row>
    <row r="79" spans="1:13">
      <c r="A79" s="41" t="s">
        <v>211</v>
      </c>
      <c r="B79" s="41">
        <v>8</v>
      </c>
      <c r="C79" s="41">
        <v>27</v>
      </c>
      <c r="D79" s="41">
        <v>8</v>
      </c>
      <c r="E79" s="41">
        <v>27</v>
      </c>
      <c r="F79" s="41">
        <v>8</v>
      </c>
      <c r="G79" s="41">
        <v>27</v>
      </c>
      <c r="H79" s="41"/>
      <c r="I79" s="41"/>
      <c r="J79" s="41"/>
      <c r="L79" s="41"/>
      <c r="M79" s="41"/>
    </row>
    <row r="80" spans="1:13">
      <c r="A80" s="41" t="s">
        <v>212</v>
      </c>
      <c r="B80" s="41">
        <v>8</v>
      </c>
      <c r="C80" s="41">
        <v>27</v>
      </c>
      <c r="D80" s="41">
        <v>8</v>
      </c>
      <c r="E80" s="41">
        <v>27</v>
      </c>
      <c r="F80" s="41">
        <v>8</v>
      </c>
      <c r="G80" s="41">
        <v>27</v>
      </c>
      <c r="H80" s="41"/>
      <c r="I80" s="41"/>
      <c r="J80" s="41"/>
      <c r="L80" s="41"/>
      <c r="M80" s="41"/>
    </row>
    <row r="81" spans="1:13">
      <c r="A81" s="41" t="s">
        <v>213</v>
      </c>
      <c r="B81" s="41">
        <v>8</v>
      </c>
      <c r="C81" s="41">
        <v>27</v>
      </c>
      <c r="D81" s="41">
        <v>8</v>
      </c>
      <c r="E81" s="41">
        <v>27</v>
      </c>
      <c r="F81" s="41">
        <v>8</v>
      </c>
      <c r="G81" s="41">
        <v>27</v>
      </c>
      <c r="H81" s="41"/>
      <c r="I81" s="41"/>
      <c r="J81" s="41"/>
      <c r="L81" s="41"/>
      <c r="M81" s="41"/>
    </row>
    <row r="82" spans="1:13">
      <c r="A82" s="41" t="s">
        <v>214</v>
      </c>
      <c r="B82" s="41">
        <v>1</v>
      </c>
      <c r="C82" s="41">
        <v>27</v>
      </c>
      <c r="D82" s="41">
        <v>1</v>
      </c>
      <c r="E82" s="41">
        <v>27</v>
      </c>
      <c r="F82" s="41">
        <v>0.25</v>
      </c>
      <c r="G82" s="41">
        <v>10</v>
      </c>
      <c r="H82" s="41"/>
      <c r="I82" s="41"/>
      <c r="J82" s="41"/>
      <c r="L82" s="41"/>
      <c r="M82" s="41"/>
    </row>
    <row r="83" spans="1:13">
      <c r="A83" s="41" t="s">
        <v>215</v>
      </c>
      <c r="B83" s="41">
        <v>0.8</v>
      </c>
      <c r="C83" s="41">
        <v>27</v>
      </c>
      <c r="D83" s="41">
        <v>0.8</v>
      </c>
      <c r="E83" s="41">
        <v>27</v>
      </c>
      <c r="F83" s="41">
        <v>0.25</v>
      </c>
      <c r="G83" s="41">
        <v>10</v>
      </c>
      <c r="H83" s="41"/>
      <c r="I83" s="41"/>
      <c r="J83" s="41"/>
      <c r="L83" s="41"/>
      <c r="M83" s="41"/>
    </row>
    <row r="84" spans="1:13">
      <c r="A84" s="41" t="s">
        <v>216</v>
      </c>
      <c r="B84" s="41">
        <v>9.6999999999999993</v>
      </c>
      <c r="C84" s="41">
        <v>72.900000000000006</v>
      </c>
      <c r="D84" s="41">
        <v>9.6999999999999993</v>
      </c>
      <c r="E84" s="41">
        <v>72.900000000000006</v>
      </c>
      <c r="F84" s="41">
        <v>9.6999999999999993</v>
      </c>
      <c r="G84" s="41">
        <v>72.900000000000006</v>
      </c>
      <c r="H84" s="41"/>
      <c r="I84" s="41"/>
      <c r="J84" s="41"/>
      <c r="L84" s="41"/>
      <c r="M84" s="41"/>
    </row>
    <row r="85" spans="1:13">
      <c r="A85" s="41" t="s">
        <v>217</v>
      </c>
      <c r="B85" s="41">
        <v>11.6</v>
      </c>
      <c r="C85" s="41">
        <v>96.3</v>
      </c>
      <c r="D85" s="41">
        <v>11.6</v>
      </c>
      <c r="E85" s="41">
        <v>96.3</v>
      </c>
      <c r="F85" s="41">
        <v>11.6</v>
      </c>
      <c r="G85" s="41">
        <v>96.3</v>
      </c>
      <c r="H85" s="41"/>
      <c r="I85" s="41"/>
      <c r="J85" s="41"/>
      <c r="L85" s="41"/>
      <c r="M85" s="41"/>
    </row>
    <row r="86" spans="1:13">
      <c r="A86" s="41" t="s">
        <v>218</v>
      </c>
      <c r="B86" s="41"/>
      <c r="C86" s="41"/>
      <c r="D86" s="41"/>
      <c r="E86" s="41"/>
      <c r="F86" s="41"/>
      <c r="G86" s="41"/>
      <c r="H86" s="41"/>
      <c r="I86" s="41"/>
      <c r="J86" s="41"/>
      <c r="L86" s="41"/>
      <c r="M86" s="41"/>
    </row>
    <row r="87" spans="1:13">
      <c r="A87" s="41" t="s">
        <v>219</v>
      </c>
      <c r="B87" s="41"/>
      <c r="C87" s="41"/>
      <c r="D87" s="41"/>
      <c r="E87" s="41"/>
      <c r="F87" s="41"/>
      <c r="G87" s="41"/>
      <c r="H87" s="41"/>
      <c r="I87" s="41"/>
      <c r="J87" s="41"/>
      <c r="L87" s="41"/>
      <c r="M87" s="41"/>
    </row>
    <row r="88" spans="1:13">
      <c r="A88" s="41"/>
      <c r="B88" s="41"/>
      <c r="C88" s="41"/>
      <c r="D88" s="41"/>
      <c r="E88" s="41"/>
      <c r="F88" s="41"/>
      <c r="G88" s="41"/>
      <c r="H88" s="41"/>
      <c r="I88" s="41"/>
      <c r="J88" s="41"/>
      <c r="K88" s="41"/>
      <c r="L88" s="41"/>
      <c r="M88" s="41"/>
    </row>
    <row r="89" spans="1:13" s="118" customFormat="1" ht="37.5" customHeight="1">
      <c r="A89" s="117" t="s">
        <v>220</v>
      </c>
      <c r="B89" s="119"/>
      <c r="C89" s="119"/>
      <c r="D89" s="119"/>
      <c r="E89" s="119"/>
      <c r="F89" s="119"/>
      <c r="G89" s="119"/>
      <c r="H89" s="119"/>
      <c r="I89" s="119"/>
      <c r="J89" s="119"/>
      <c r="K89" s="119"/>
      <c r="L89" s="119"/>
      <c r="M89" s="119"/>
    </row>
    <row r="90" spans="1:13" ht="75">
      <c r="A90" s="26" t="s">
        <v>221</v>
      </c>
      <c r="B90" s="26" t="s">
        <v>222</v>
      </c>
      <c r="C90" s="26" t="s">
        <v>223</v>
      </c>
      <c r="D90" s="26" t="s">
        <v>224</v>
      </c>
      <c r="E90" s="26" t="s">
        <v>225</v>
      </c>
      <c r="F90" s="26" t="s">
        <v>226</v>
      </c>
      <c r="G90" s="26" t="s">
        <v>227</v>
      </c>
      <c r="H90" s="26" t="s">
        <v>228</v>
      </c>
      <c r="I90" s="26" t="s">
        <v>229</v>
      </c>
      <c r="J90" s="26" t="s">
        <v>230</v>
      </c>
      <c r="K90" s="26" t="s">
        <v>231</v>
      </c>
      <c r="L90" s="26" t="s">
        <v>232</v>
      </c>
      <c r="M90" s="26" t="s">
        <v>233</v>
      </c>
    </row>
    <row r="91" spans="1:13" ht="17.25" customHeight="1">
      <c r="A91" s="88" t="s">
        <v>234</v>
      </c>
      <c r="B91" s="88" t="s">
        <v>235</v>
      </c>
      <c r="C91" s="88" t="b">
        <v>0</v>
      </c>
      <c r="D91" s="88" t="s">
        <v>236</v>
      </c>
      <c r="E91" s="88" t="s">
        <v>237</v>
      </c>
      <c r="F91" s="41" t="s">
        <v>238</v>
      </c>
      <c r="G91" s="89">
        <v>5.4275224678316372E-2</v>
      </c>
      <c r="H91" s="89">
        <v>26.54388787863137</v>
      </c>
      <c r="I91" s="41" t="s">
        <v>239</v>
      </c>
      <c r="J91" s="89">
        <v>0.43829924601432957</v>
      </c>
      <c r="K91" s="89">
        <v>31.28869819332871</v>
      </c>
      <c r="L91" s="89">
        <v>0.71193037561455097</v>
      </c>
      <c r="M91" s="89">
        <v>35.822223128841138</v>
      </c>
    </row>
    <row r="92" spans="1:13">
      <c r="A92" s="88" t="s">
        <v>234</v>
      </c>
      <c r="B92" s="88" t="s">
        <v>235</v>
      </c>
      <c r="C92" s="88" t="b">
        <v>1</v>
      </c>
      <c r="D92" s="88" t="s">
        <v>236</v>
      </c>
      <c r="E92" s="88" t="s">
        <v>237</v>
      </c>
      <c r="F92" s="41" t="s">
        <v>240</v>
      </c>
      <c r="G92" s="89">
        <v>5.4270943193136953E-2</v>
      </c>
      <c r="H92" s="89">
        <v>26.468500344899152</v>
      </c>
      <c r="I92" s="41" t="s">
        <v>239</v>
      </c>
      <c r="J92" s="89"/>
      <c r="K92" s="89"/>
      <c r="L92" s="89"/>
      <c r="M92" s="89"/>
    </row>
    <row r="93" spans="1:13">
      <c r="A93" s="88" t="s">
        <v>234</v>
      </c>
      <c r="B93" s="88" t="s">
        <v>235</v>
      </c>
      <c r="C93" s="88" t="b">
        <v>0</v>
      </c>
      <c r="D93" s="88" t="s">
        <v>236</v>
      </c>
      <c r="E93" s="88" t="s">
        <v>241</v>
      </c>
      <c r="F93" s="41" t="s">
        <v>242</v>
      </c>
      <c r="G93" s="89">
        <v>0.33983727969969041</v>
      </c>
      <c r="H93" s="89">
        <v>19.163950278914385</v>
      </c>
      <c r="I93" s="41" t="s">
        <v>239</v>
      </c>
      <c r="J93" s="89"/>
      <c r="K93" s="89"/>
      <c r="L93" s="89"/>
      <c r="M93" s="89"/>
    </row>
    <row r="94" spans="1:13">
      <c r="A94" s="88" t="s">
        <v>234</v>
      </c>
      <c r="B94" s="88" t="s">
        <v>235</v>
      </c>
      <c r="C94" s="88" t="b">
        <v>1</v>
      </c>
      <c r="D94" s="88" t="s">
        <v>236</v>
      </c>
      <c r="E94" s="88" t="s">
        <v>241</v>
      </c>
      <c r="F94" s="41" t="s">
        <v>243</v>
      </c>
      <c r="G94" s="89">
        <v>0.33980060996948158</v>
      </c>
      <c r="H94" s="89">
        <v>19.112987925886724</v>
      </c>
      <c r="I94" s="41" t="s">
        <v>239</v>
      </c>
      <c r="J94" s="89"/>
      <c r="K94" s="89"/>
      <c r="L94" s="89"/>
      <c r="M94" s="89"/>
    </row>
    <row r="95" spans="1:13">
      <c r="A95" s="88" t="s">
        <v>234</v>
      </c>
      <c r="B95" s="88" t="s">
        <v>235</v>
      </c>
      <c r="C95" s="88" t="b">
        <v>0</v>
      </c>
      <c r="D95" s="88" t="s">
        <v>236</v>
      </c>
      <c r="E95" s="88" t="s">
        <v>244</v>
      </c>
      <c r="F95" s="41" t="s">
        <v>245</v>
      </c>
      <c r="G95" s="89">
        <v>0.55855610023199342</v>
      </c>
      <c r="H95" s="89">
        <v>20.25339855252869</v>
      </c>
      <c r="I95" s="41" t="s">
        <v>239</v>
      </c>
      <c r="J95" s="89"/>
      <c r="K95" s="89"/>
      <c r="L95" s="89"/>
      <c r="M95" s="89"/>
    </row>
    <row r="96" spans="1:13">
      <c r="A96" s="88" t="s">
        <v>234</v>
      </c>
      <c r="B96" s="88" t="s">
        <v>235</v>
      </c>
      <c r="C96" s="88" t="b">
        <v>1</v>
      </c>
      <c r="D96" s="88" t="s">
        <v>236</v>
      </c>
      <c r="E96" s="88" t="s">
        <v>244</v>
      </c>
      <c r="F96" s="41" t="s">
        <v>246</v>
      </c>
      <c r="G96" s="89">
        <v>0.55848487909082245</v>
      </c>
      <c r="H96" s="89">
        <v>20.203124159198481</v>
      </c>
      <c r="I96" s="41" t="s">
        <v>239</v>
      </c>
      <c r="J96" s="89"/>
      <c r="K96" s="89"/>
      <c r="L96" s="89"/>
      <c r="M96" s="89"/>
    </row>
    <row r="97" spans="1:13">
      <c r="A97" s="88" t="s">
        <v>234</v>
      </c>
      <c r="B97" s="88" t="s">
        <v>235</v>
      </c>
      <c r="C97" s="88" t="b">
        <v>0</v>
      </c>
      <c r="D97" s="88" t="s">
        <v>247</v>
      </c>
      <c r="E97" s="88" t="s">
        <v>237</v>
      </c>
      <c r="F97" s="41" t="s">
        <v>248</v>
      </c>
      <c r="G97" s="89">
        <v>0.15077281689068139</v>
      </c>
      <c r="H97" s="89">
        <v>31.612518411690296</v>
      </c>
      <c r="I97" s="41" t="s">
        <v>249</v>
      </c>
      <c r="J97" s="89">
        <v>0.88287501130274237</v>
      </c>
      <c r="K97" s="89">
        <v>35.908833681747339</v>
      </c>
      <c r="L97" s="89"/>
      <c r="M97" s="89"/>
    </row>
    <row r="98" spans="1:13">
      <c r="A98" s="88" t="s">
        <v>234</v>
      </c>
      <c r="B98" s="88" t="s">
        <v>235</v>
      </c>
      <c r="C98" s="88" t="b">
        <v>1</v>
      </c>
      <c r="D98" s="88" t="s">
        <v>247</v>
      </c>
      <c r="E98" s="88" t="s">
        <v>237</v>
      </c>
      <c r="F98" s="41" t="s">
        <v>250</v>
      </c>
      <c r="G98" s="89">
        <v>0.15076495916421234</v>
      </c>
      <c r="H98" s="89">
        <v>31.523271634524313</v>
      </c>
      <c r="I98" s="41" t="s">
        <v>249</v>
      </c>
      <c r="J98" s="89"/>
      <c r="K98" s="89"/>
      <c r="L98" s="89"/>
      <c r="M98" s="89"/>
    </row>
    <row r="99" spans="1:13">
      <c r="A99" s="88" t="s">
        <v>234</v>
      </c>
      <c r="B99" s="88" t="s">
        <v>235</v>
      </c>
      <c r="C99" s="88" t="b">
        <v>0</v>
      </c>
      <c r="D99" s="88" t="s">
        <v>247</v>
      </c>
      <c r="E99" s="88" t="s">
        <v>241</v>
      </c>
      <c r="F99" s="41" t="s">
        <v>251</v>
      </c>
      <c r="G99" s="89">
        <v>0.73068781592629695</v>
      </c>
      <c r="H99" s="89">
        <v>23.816969245584708</v>
      </c>
      <c r="I99" s="41" t="s">
        <v>249</v>
      </c>
      <c r="J99" s="89"/>
      <c r="K99" s="89"/>
      <c r="L99" s="89"/>
      <c r="M99" s="89"/>
    </row>
    <row r="100" spans="1:13">
      <c r="A100" s="88" t="s">
        <v>234</v>
      </c>
      <c r="B100" s="88" t="s">
        <v>235</v>
      </c>
      <c r="C100" s="88" t="b">
        <v>1</v>
      </c>
      <c r="D100" s="88" t="s">
        <v>247</v>
      </c>
      <c r="E100" s="88" t="s">
        <v>241</v>
      </c>
      <c r="F100" s="41" t="s">
        <v>252</v>
      </c>
      <c r="G100" s="89">
        <v>0.73064001773825338</v>
      </c>
      <c r="H100" s="89">
        <v>23.754911298593985</v>
      </c>
      <c r="I100" s="41" t="s">
        <v>249</v>
      </c>
      <c r="J100" s="89"/>
      <c r="K100" s="89"/>
      <c r="L100" s="89"/>
      <c r="M100" s="89"/>
    </row>
    <row r="101" spans="1:13">
      <c r="A101" s="88" t="s">
        <v>234</v>
      </c>
      <c r="B101" s="88" t="s">
        <v>235</v>
      </c>
      <c r="C101" s="88" t="b">
        <v>0</v>
      </c>
      <c r="D101" s="88" t="s">
        <v>247</v>
      </c>
      <c r="E101" s="88" t="s">
        <v>244</v>
      </c>
      <c r="F101" s="41" t="s">
        <v>253</v>
      </c>
      <c r="G101" s="89">
        <v>0.98229484235728526</v>
      </c>
      <c r="H101" s="89">
        <v>22.02566705166738</v>
      </c>
      <c r="I101" s="41" t="s">
        <v>249</v>
      </c>
      <c r="J101" s="89"/>
      <c r="K101" s="89"/>
      <c r="L101" s="89"/>
      <c r="M101" s="89"/>
    </row>
    <row r="102" spans="1:13">
      <c r="A102" s="88" t="s">
        <v>234</v>
      </c>
      <c r="B102" s="88" t="s">
        <v>235</v>
      </c>
      <c r="C102" s="88" t="b">
        <v>1</v>
      </c>
      <c r="D102" s="88" t="s">
        <v>247</v>
      </c>
      <c r="E102" s="88" t="s">
        <v>244</v>
      </c>
      <c r="F102" s="41" t="s">
        <v>254</v>
      </c>
      <c r="G102" s="89">
        <v>0.98220460676685017</v>
      </c>
      <c r="H102" s="89">
        <v>21.974257105626293</v>
      </c>
      <c r="I102" s="41" t="s">
        <v>249</v>
      </c>
      <c r="J102" s="89"/>
      <c r="K102" s="89"/>
      <c r="L102" s="89"/>
      <c r="M102" s="89"/>
    </row>
    <row r="103" spans="1:13">
      <c r="A103" s="88" t="s">
        <v>234</v>
      </c>
      <c r="B103" s="88" t="s">
        <v>255</v>
      </c>
      <c r="C103" s="88" t="b">
        <v>0</v>
      </c>
      <c r="D103" s="88" t="s">
        <v>236</v>
      </c>
      <c r="E103" s="88" t="s">
        <v>237</v>
      </c>
      <c r="F103" s="41" t="s">
        <v>256</v>
      </c>
      <c r="G103" s="89">
        <v>4.9750480326866631E-2</v>
      </c>
      <c r="H103" s="89">
        <v>25.346157052860455</v>
      </c>
      <c r="I103" s="41" t="s">
        <v>257</v>
      </c>
      <c r="J103" s="89">
        <v>0.28206719006731051</v>
      </c>
      <c r="K103" s="89">
        <v>23.454933111107422</v>
      </c>
      <c r="L103" s="89">
        <v>0.45344460962485733</v>
      </c>
      <c r="M103" s="89">
        <v>25.028973007903257</v>
      </c>
    </row>
    <row r="104" spans="1:13">
      <c r="A104" s="88" t="s">
        <v>234</v>
      </c>
      <c r="B104" s="88" t="s">
        <v>255</v>
      </c>
      <c r="C104" s="88" t="b">
        <v>1</v>
      </c>
      <c r="D104" s="88" t="s">
        <v>236</v>
      </c>
      <c r="E104" s="88" t="s">
        <v>237</v>
      </c>
      <c r="F104" s="41" t="s">
        <v>258</v>
      </c>
      <c r="G104" s="89">
        <v>4.9750480326866631E-2</v>
      </c>
      <c r="H104" s="89">
        <v>25.282454997506896</v>
      </c>
      <c r="I104" s="41" t="s">
        <v>257</v>
      </c>
      <c r="J104" s="89"/>
      <c r="K104" s="89"/>
      <c r="L104" s="89"/>
      <c r="M104" s="89"/>
    </row>
    <row r="105" spans="1:13">
      <c r="A105" s="88" t="s">
        <v>234</v>
      </c>
      <c r="B105" s="88" t="s">
        <v>255</v>
      </c>
      <c r="C105" s="88" t="b">
        <v>0</v>
      </c>
      <c r="D105" s="88" t="s">
        <v>236</v>
      </c>
      <c r="E105" s="88" t="s">
        <v>241</v>
      </c>
      <c r="F105" s="41" t="s">
        <v>259</v>
      </c>
      <c r="G105" s="89">
        <v>0.30983394285335975</v>
      </c>
      <c r="H105" s="89">
        <v>17.665946232477602</v>
      </c>
      <c r="I105" s="41" t="s">
        <v>257</v>
      </c>
      <c r="J105" s="89"/>
      <c r="K105" s="89"/>
      <c r="L105" s="89"/>
      <c r="M105" s="89"/>
    </row>
    <row r="106" spans="1:13">
      <c r="A106" s="88" t="s">
        <v>234</v>
      </c>
      <c r="B106" s="88" t="s">
        <v>255</v>
      </c>
      <c r="C106" s="88" t="b">
        <v>1</v>
      </c>
      <c r="D106" s="88" t="s">
        <v>236</v>
      </c>
      <c r="E106" s="88" t="s">
        <v>241</v>
      </c>
      <c r="F106" s="41" t="s">
        <v>260</v>
      </c>
      <c r="G106" s="89">
        <v>0.30983394285335975</v>
      </c>
      <c r="H106" s="89">
        <v>17.624975866545448</v>
      </c>
      <c r="I106" s="41" t="s">
        <v>257</v>
      </c>
      <c r="J106" s="89"/>
      <c r="K106" s="89"/>
      <c r="L106" s="89"/>
      <c r="M106" s="89"/>
    </row>
    <row r="107" spans="1:13">
      <c r="A107" s="88" t="s">
        <v>234</v>
      </c>
      <c r="B107" s="88" t="s">
        <v>255</v>
      </c>
      <c r="C107" s="88" t="b">
        <v>1</v>
      </c>
      <c r="D107" s="88" t="s">
        <v>236</v>
      </c>
      <c r="E107" s="88" t="s">
        <v>244</v>
      </c>
      <c r="F107" s="41" t="s">
        <v>261</v>
      </c>
      <c r="G107" s="89">
        <v>0.52670839605371089</v>
      </c>
      <c r="H107" s="89">
        <v>18.22528381440436</v>
      </c>
      <c r="I107" s="41" t="s">
        <v>257</v>
      </c>
      <c r="J107" s="89"/>
      <c r="K107" s="89"/>
      <c r="L107" s="89"/>
      <c r="M107" s="89"/>
    </row>
    <row r="108" spans="1:13">
      <c r="A108" s="88" t="s">
        <v>234</v>
      </c>
      <c r="B108" s="88" t="s">
        <v>255</v>
      </c>
      <c r="C108" s="88" t="b">
        <v>0</v>
      </c>
      <c r="D108" s="88" t="s">
        <v>247</v>
      </c>
      <c r="E108" s="88" t="s">
        <v>237</v>
      </c>
      <c r="F108" s="41" t="s">
        <v>262</v>
      </c>
      <c r="G108" s="89">
        <v>0.134776641075538</v>
      </c>
      <c r="H108" s="89">
        <v>30.045081620467091</v>
      </c>
      <c r="I108" s="41" t="s">
        <v>263</v>
      </c>
      <c r="J108" s="89">
        <v>0.62141212489703246</v>
      </c>
      <c r="K108" s="89">
        <v>26.190047432446104</v>
      </c>
      <c r="L108" s="89"/>
      <c r="M108" s="89"/>
    </row>
    <row r="109" spans="1:13">
      <c r="A109" s="88" t="s">
        <v>234</v>
      </c>
      <c r="B109" s="88" t="s">
        <v>255</v>
      </c>
      <c r="C109" s="88" t="b">
        <v>1</v>
      </c>
      <c r="D109" s="88" t="s">
        <v>247</v>
      </c>
      <c r="E109" s="88" t="s">
        <v>237</v>
      </c>
      <c r="F109" s="41" t="s">
        <v>264</v>
      </c>
      <c r="G109" s="89">
        <v>0.134776641075538</v>
      </c>
      <c r="H109" s="89">
        <v>29.970156385666801</v>
      </c>
      <c r="I109" s="41" t="s">
        <v>263</v>
      </c>
      <c r="J109" s="89"/>
      <c r="K109" s="89"/>
      <c r="L109" s="89"/>
      <c r="M109" s="89"/>
    </row>
    <row r="110" spans="1:13">
      <c r="A110" s="88" t="s">
        <v>234</v>
      </c>
      <c r="B110" s="88" t="s">
        <v>255</v>
      </c>
      <c r="C110" s="88" t="b">
        <v>0</v>
      </c>
      <c r="D110" s="88" t="s">
        <v>247</v>
      </c>
      <c r="E110" s="88" t="s">
        <v>241</v>
      </c>
      <c r="F110" s="41" t="s">
        <v>265</v>
      </c>
      <c r="G110" s="89">
        <v>0.64354905523717454</v>
      </c>
      <c r="H110" s="89">
        <v>21.772143493134024</v>
      </c>
      <c r="I110" s="41" t="s">
        <v>263</v>
      </c>
      <c r="J110" s="89"/>
      <c r="K110" s="89"/>
      <c r="L110" s="89"/>
      <c r="M110" s="89"/>
    </row>
    <row r="111" spans="1:13">
      <c r="A111" s="88" t="s">
        <v>234</v>
      </c>
      <c r="B111" s="88" t="s">
        <v>255</v>
      </c>
      <c r="C111" s="88" t="b">
        <v>1</v>
      </c>
      <c r="D111" s="88" t="s">
        <v>247</v>
      </c>
      <c r="E111" s="88" t="s">
        <v>241</v>
      </c>
      <c r="F111" s="41" t="s">
        <v>266</v>
      </c>
      <c r="G111" s="89">
        <v>0.64354905523717454</v>
      </c>
      <c r="H111" s="89">
        <v>21.722702548670917</v>
      </c>
      <c r="I111" s="41" t="s">
        <v>263</v>
      </c>
      <c r="J111" s="89"/>
      <c r="K111" s="89"/>
      <c r="L111" s="89"/>
      <c r="M111" s="89"/>
    </row>
    <row r="112" spans="1:13">
      <c r="A112" s="88" t="s">
        <v>234</v>
      </c>
      <c r="B112" s="88" t="s">
        <v>255</v>
      </c>
      <c r="C112" s="88" t="b">
        <v>0</v>
      </c>
      <c r="D112" s="88" t="s">
        <v>247</v>
      </c>
      <c r="E112" s="88" t="s">
        <v>244</v>
      </c>
      <c r="F112" s="41" t="s">
        <v>267</v>
      </c>
      <c r="G112" s="89">
        <v>0.89891155482612617</v>
      </c>
      <c r="H112" s="89">
        <v>19.517304673027276</v>
      </c>
      <c r="I112" s="41" t="s">
        <v>263</v>
      </c>
      <c r="J112" s="89"/>
      <c r="K112" s="89"/>
      <c r="L112" s="89"/>
      <c r="M112" s="89"/>
    </row>
    <row r="113" spans="1:13">
      <c r="A113" s="88" t="s">
        <v>234</v>
      </c>
      <c r="B113" s="88" t="s">
        <v>255</v>
      </c>
      <c r="C113" s="88" t="b">
        <v>1</v>
      </c>
      <c r="D113" s="88" t="s">
        <v>247</v>
      </c>
      <c r="E113" s="88" t="s">
        <v>244</v>
      </c>
      <c r="F113" s="41" t="s">
        <v>268</v>
      </c>
      <c r="G113" s="89">
        <v>0.89891155482612617</v>
      </c>
      <c r="H113" s="89">
        <v>19.477743488009551</v>
      </c>
      <c r="I113" s="41" t="s">
        <v>263</v>
      </c>
      <c r="J113" s="89"/>
      <c r="K113" s="89"/>
      <c r="L113" s="89"/>
      <c r="M113" s="89"/>
    </row>
    <row r="114" spans="1:13">
      <c r="A114" s="88" t="s">
        <v>234</v>
      </c>
      <c r="B114" s="88" t="s">
        <v>269</v>
      </c>
      <c r="C114" s="88" t="b">
        <v>0</v>
      </c>
      <c r="D114" s="88" t="s">
        <v>236</v>
      </c>
      <c r="E114" s="88" t="s">
        <v>237</v>
      </c>
      <c r="F114" s="41" t="s">
        <v>270</v>
      </c>
      <c r="G114" s="89">
        <v>5.0748597871126608E-2</v>
      </c>
      <c r="H114" s="89">
        <v>22.392004281670363</v>
      </c>
      <c r="I114" s="41" t="s">
        <v>271</v>
      </c>
      <c r="J114" s="89">
        <v>0.24019988586162175</v>
      </c>
      <c r="K114" s="89">
        <v>16.718923384149356</v>
      </c>
      <c r="L114" s="89">
        <v>0.38042819378088821</v>
      </c>
      <c r="M114" s="89">
        <v>16.986656015517418</v>
      </c>
    </row>
    <row r="115" spans="1:13">
      <c r="A115" s="88" t="s">
        <v>234</v>
      </c>
      <c r="B115" s="88" t="s">
        <v>269</v>
      </c>
      <c r="C115" s="88" t="b">
        <v>0</v>
      </c>
      <c r="D115" s="88" t="s">
        <v>236</v>
      </c>
      <c r="E115" s="88" t="s">
        <v>241</v>
      </c>
      <c r="F115" s="41" t="s">
        <v>272</v>
      </c>
      <c r="G115" s="89">
        <v>0.33287980421812863</v>
      </c>
      <c r="H115" s="89">
        <v>15.520661628195063</v>
      </c>
      <c r="I115" s="41" t="s">
        <v>271</v>
      </c>
      <c r="J115" s="89"/>
      <c r="K115" s="89"/>
      <c r="L115" s="89"/>
      <c r="M115" s="89"/>
    </row>
    <row r="116" spans="1:13">
      <c r="A116" s="88" t="s">
        <v>234</v>
      </c>
      <c r="B116" s="88" t="s">
        <v>269</v>
      </c>
      <c r="C116" s="88" t="b">
        <v>1</v>
      </c>
      <c r="D116" s="88" t="s">
        <v>236</v>
      </c>
      <c r="E116" s="88" t="s">
        <v>241</v>
      </c>
      <c r="F116" s="41" t="s">
        <v>273</v>
      </c>
      <c r="G116" s="89">
        <v>0.33287980421812863</v>
      </c>
      <c r="H116" s="89">
        <v>15.485008511860027</v>
      </c>
      <c r="I116" s="41" t="s">
        <v>271</v>
      </c>
      <c r="J116" s="89"/>
      <c r="K116" s="89"/>
      <c r="L116" s="89"/>
      <c r="M116" s="89"/>
    </row>
    <row r="117" spans="1:13">
      <c r="A117" s="88" t="s">
        <v>234</v>
      </c>
      <c r="B117" s="88" t="s">
        <v>269</v>
      </c>
      <c r="C117" s="88" t="b">
        <v>1</v>
      </c>
      <c r="D117" s="88" t="s">
        <v>247</v>
      </c>
      <c r="E117" s="88" t="s">
        <v>237</v>
      </c>
      <c r="F117" s="41" t="s">
        <v>274</v>
      </c>
      <c r="G117" s="89">
        <v>0.14239662707390396</v>
      </c>
      <c r="H117" s="89">
        <v>26.415249784413245</v>
      </c>
      <c r="I117" s="41" t="s">
        <v>275</v>
      </c>
      <c r="J117" s="89">
        <v>0.53448044507006764</v>
      </c>
      <c r="K117" s="89">
        <v>19.002789261511435</v>
      </c>
      <c r="L117" s="89"/>
      <c r="M117" s="89"/>
    </row>
    <row r="118" spans="1:13">
      <c r="A118" s="88" t="s">
        <v>234</v>
      </c>
      <c r="B118" s="88" t="s">
        <v>269</v>
      </c>
      <c r="C118" s="88" t="b">
        <v>0</v>
      </c>
      <c r="D118" s="88" t="s">
        <v>247</v>
      </c>
      <c r="E118" s="88" t="s">
        <v>241</v>
      </c>
      <c r="F118" s="41" t="s">
        <v>276</v>
      </c>
      <c r="G118" s="89">
        <v>0.70314001550724237</v>
      </c>
      <c r="H118" s="89">
        <v>19.092637414358691</v>
      </c>
      <c r="I118" s="41" t="s">
        <v>275</v>
      </c>
      <c r="J118" s="89"/>
      <c r="K118" s="89"/>
      <c r="L118" s="89"/>
      <c r="M118" s="89"/>
    </row>
    <row r="119" spans="1:13">
      <c r="A119" s="88" t="s">
        <v>234</v>
      </c>
      <c r="B119" s="88" t="s">
        <v>269</v>
      </c>
      <c r="C119" s="88" t="b">
        <v>0</v>
      </c>
      <c r="D119" s="88" t="s">
        <v>247</v>
      </c>
      <c r="E119" s="88" t="s">
        <v>244</v>
      </c>
      <c r="F119" s="41" t="s">
        <v>277</v>
      </c>
      <c r="G119" s="89">
        <v>0.96947898886490191</v>
      </c>
      <c r="H119" s="89">
        <v>17.024538237103176</v>
      </c>
      <c r="I119" s="41" t="s">
        <v>275</v>
      </c>
      <c r="J119" s="89"/>
      <c r="K119" s="89"/>
      <c r="L119" s="89"/>
      <c r="M119" s="89"/>
    </row>
    <row r="120" spans="1:13">
      <c r="A120" s="88" t="s">
        <v>234</v>
      </c>
      <c r="B120" s="88" t="s">
        <v>278</v>
      </c>
      <c r="C120" s="88" t="b">
        <v>0</v>
      </c>
      <c r="D120" s="88" t="s">
        <v>236</v>
      </c>
      <c r="E120" s="88" t="s">
        <v>237</v>
      </c>
      <c r="F120" s="41" t="s">
        <v>279</v>
      </c>
      <c r="G120" s="89">
        <v>7.064427928326375E-2</v>
      </c>
      <c r="H120" s="89">
        <v>93.252993503644717</v>
      </c>
      <c r="I120" s="41" t="s">
        <v>280</v>
      </c>
      <c r="J120" s="89">
        <v>0.40885720672434644</v>
      </c>
      <c r="K120" s="89">
        <v>93.461988882610882</v>
      </c>
      <c r="L120" s="89">
        <v>0.57493389226480929</v>
      </c>
      <c r="M120" s="89">
        <v>98.397710972078926</v>
      </c>
    </row>
    <row r="121" spans="1:13">
      <c r="A121" s="88" t="s">
        <v>234</v>
      </c>
      <c r="B121" s="88" t="s">
        <v>278</v>
      </c>
      <c r="C121" s="88" t="b">
        <v>1</v>
      </c>
      <c r="D121" s="88" t="s">
        <v>236</v>
      </c>
      <c r="E121" s="88" t="s">
        <v>237</v>
      </c>
      <c r="F121" s="41" t="s">
        <v>281</v>
      </c>
      <c r="G121" s="89">
        <v>6.7911430378150575E-2</v>
      </c>
      <c r="H121" s="89">
        <v>93.567785662672904</v>
      </c>
      <c r="I121" s="41" t="s">
        <v>280</v>
      </c>
      <c r="J121" s="89"/>
      <c r="K121" s="89"/>
      <c r="L121" s="89"/>
      <c r="M121" s="89"/>
    </row>
    <row r="122" spans="1:13">
      <c r="A122" s="88" t="s">
        <v>234</v>
      </c>
      <c r="B122" s="88" t="s">
        <v>278</v>
      </c>
      <c r="C122" s="88" t="b">
        <v>0</v>
      </c>
      <c r="D122" s="88" t="s">
        <v>236</v>
      </c>
      <c r="E122" s="88" t="s">
        <v>241</v>
      </c>
      <c r="F122" s="41" t="s">
        <v>282</v>
      </c>
      <c r="G122" s="89">
        <v>0.38257707704246624</v>
      </c>
      <c r="H122" s="89">
        <v>61.687411404088877</v>
      </c>
      <c r="I122" s="41" t="s">
        <v>280</v>
      </c>
      <c r="J122" s="89"/>
      <c r="K122" s="89"/>
      <c r="L122" s="89"/>
      <c r="M122" s="89"/>
    </row>
    <row r="123" spans="1:13">
      <c r="A123" s="88" t="s">
        <v>234</v>
      </c>
      <c r="B123" s="88" t="s">
        <v>278</v>
      </c>
      <c r="C123" s="88" t="b">
        <v>1</v>
      </c>
      <c r="D123" s="88" t="s">
        <v>236</v>
      </c>
      <c r="E123" s="88" t="s">
        <v>241</v>
      </c>
      <c r="F123" s="41" t="s">
        <v>283</v>
      </c>
      <c r="G123" s="89">
        <v>0.35283520887129288</v>
      </c>
      <c r="H123" s="89">
        <v>59.537322841270544</v>
      </c>
      <c r="I123" s="41" t="s">
        <v>280</v>
      </c>
      <c r="J123" s="89"/>
      <c r="K123" s="89"/>
      <c r="L123" s="89"/>
      <c r="M123" s="89"/>
    </row>
    <row r="124" spans="1:13">
      <c r="A124" s="88" t="s">
        <v>234</v>
      </c>
      <c r="B124" s="88" t="s">
        <v>278</v>
      </c>
      <c r="C124" s="88" t="b">
        <v>1</v>
      </c>
      <c r="D124" s="88" t="s">
        <v>236</v>
      </c>
      <c r="E124" s="88" t="s">
        <v>244</v>
      </c>
      <c r="F124" s="41" t="s">
        <v>284</v>
      </c>
      <c r="G124" s="89">
        <v>0.58101161672745227</v>
      </c>
      <c r="H124" s="89">
        <v>56.344621380971887</v>
      </c>
      <c r="I124" s="41" t="s">
        <v>280</v>
      </c>
      <c r="J124" s="89"/>
      <c r="K124" s="89"/>
      <c r="L124" s="89"/>
      <c r="M124" s="89"/>
    </row>
    <row r="125" spans="1:13">
      <c r="A125" s="88" t="s">
        <v>234</v>
      </c>
      <c r="B125" s="88" t="s">
        <v>278</v>
      </c>
      <c r="C125" s="88" t="b">
        <v>1</v>
      </c>
      <c r="D125" s="88" t="s">
        <v>247</v>
      </c>
      <c r="E125" s="88" t="s">
        <v>237</v>
      </c>
      <c r="F125" s="41" t="s">
        <v>285</v>
      </c>
      <c r="G125" s="89">
        <v>0.17227610260462156</v>
      </c>
      <c r="H125" s="89">
        <v>109.91088516598225</v>
      </c>
      <c r="I125" s="41" t="s">
        <v>286</v>
      </c>
      <c r="J125" s="89">
        <v>0.85857729394975546</v>
      </c>
      <c r="K125" s="89">
        <v>105.86522836809499</v>
      </c>
      <c r="L125" s="89"/>
      <c r="M125" s="89"/>
    </row>
    <row r="126" spans="1:13">
      <c r="A126" s="88" t="s">
        <v>234</v>
      </c>
      <c r="B126" s="88" t="s">
        <v>278</v>
      </c>
      <c r="C126" s="88" t="b">
        <v>0</v>
      </c>
      <c r="D126" s="88" t="s">
        <v>247</v>
      </c>
      <c r="E126" s="88" t="s">
        <v>241</v>
      </c>
      <c r="F126" s="41" t="s">
        <v>287</v>
      </c>
      <c r="G126" s="89">
        <v>0.7574147002080458</v>
      </c>
      <c r="H126" s="89">
        <v>75.972091196812642</v>
      </c>
      <c r="I126" s="41" t="s">
        <v>286</v>
      </c>
      <c r="J126" s="89"/>
      <c r="K126" s="89"/>
      <c r="L126" s="89"/>
      <c r="M126" s="89"/>
    </row>
    <row r="127" spans="1:13">
      <c r="A127" s="88" t="s">
        <v>234</v>
      </c>
      <c r="B127" s="88" t="s">
        <v>278</v>
      </c>
      <c r="C127" s="88" t="b">
        <v>1</v>
      </c>
      <c r="D127" s="88" t="s">
        <v>247</v>
      </c>
      <c r="E127" s="88" t="s">
        <v>241</v>
      </c>
      <c r="F127" s="41" t="s">
        <v>288</v>
      </c>
      <c r="G127" s="89">
        <v>0.72215345197058201</v>
      </c>
      <c r="H127" s="89">
        <v>73.202596502508086</v>
      </c>
      <c r="I127" s="41" t="s">
        <v>286</v>
      </c>
      <c r="J127" s="89"/>
      <c r="K127" s="89"/>
      <c r="L127" s="89"/>
      <c r="M127" s="89"/>
    </row>
    <row r="128" spans="1:13">
      <c r="A128" s="88" t="s">
        <v>234</v>
      </c>
      <c r="B128" s="88" t="s">
        <v>278</v>
      </c>
      <c r="C128" s="88" t="b">
        <v>0</v>
      </c>
      <c r="D128" s="88" t="s">
        <v>247</v>
      </c>
      <c r="E128" s="88" t="s">
        <v>244</v>
      </c>
      <c r="F128" s="41" t="s">
        <v>289</v>
      </c>
      <c r="G128" s="89">
        <v>1.046397190599256</v>
      </c>
      <c r="H128" s="89">
        <v>64.787899210846192</v>
      </c>
      <c r="I128" s="41" t="s">
        <v>286</v>
      </c>
      <c r="J128" s="89"/>
      <c r="K128" s="89"/>
      <c r="L128" s="89"/>
      <c r="M128" s="89"/>
    </row>
    <row r="129" spans="1:13">
      <c r="A129" s="88" t="s">
        <v>234</v>
      </c>
      <c r="B129" s="88" t="s">
        <v>278</v>
      </c>
      <c r="C129" s="88" t="b">
        <v>1</v>
      </c>
      <c r="D129" s="88" t="s">
        <v>247</v>
      </c>
      <c r="E129" s="88" t="s">
        <v>244</v>
      </c>
      <c r="F129" s="41" t="s">
        <v>290</v>
      </c>
      <c r="G129" s="89">
        <v>0.99622656995502401</v>
      </c>
      <c r="H129" s="89">
        <v>60.559902741550609</v>
      </c>
      <c r="I129" s="41" t="s">
        <v>286</v>
      </c>
      <c r="J129" s="89"/>
      <c r="K129" s="89"/>
      <c r="L129" s="89"/>
      <c r="M129" s="89"/>
    </row>
    <row r="130" spans="1:13">
      <c r="A130" s="88" t="s">
        <v>234</v>
      </c>
      <c r="B130" s="88" t="s">
        <v>291</v>
      </c>
      <c r="C130" s="88" t="b">
        <v>0</v>
      </c>
      <c r="D130" s="88" t="s">
        <v>236</v>
      </c>
      <c r="E130" s="88" t="s">
        <v>237</v>
      </c>
      <c r="F130" s="41" t="s">
        <v>292</v>
      </c>
      <c r="G130" s="89">
        <v>0.12216169176557388</v>
      </c>
      <c r="H130" s="89">
        <v>231.58109057287646</v>
      </c>
      <c r="I130" s="41" t="s">
        <v>293</v>
      </c>
      <c r="J130" s="89">
        <v>0.42106062411389678</v>
      </c>
      <c r="K130" s="89">
        <v>170.54711664886554</v>
      </c>
      <c r="L130" s="89">
        <v>0.57491243716073026</v>
      </c>
      <c r="M130" s="89">
        <v>181.18970818532128</v>
      </c>
    </row>
    <row r="131" spans="1:13">
      <c r="A131" s="88" t="s">
        <v>234</v>
      </c>
      <c r="B131" s="88" t="s">
        <v>291</v>
      </c>
      <c r="C131" s="88" t="b">
        <v>0</v>
      </c>
      <c r="D131" s="88" t="s">
        <v>236</v>
      </c>
      <c r="E131" s="88" t="s">
        <v>241</v>
      </c>
      <c r="F131" s="41" t="s">
        <v>294</v>
      </c>
      <c r="G131" s="89">
        <v>0.37880577019208006</v>
      </c>
      <c r="H131" s="89">
        <v>149.95891198181062</v>
      </c>
      <c r="I131" s="41" t="s">
        <v>293</v>
      </c>
      <c r="J131" s="89"/>
      <c r="K131" s="89"/>
      <c r="L131" s="89"/>
      <c r="M131" s="89"/>
    </row>
    <row r="132" spans="1:13">
      <c r="A132" s="88" t="s">
        <v>234</v>
      </c>
      <c r="B132" s="88" t="s">
        <v>291</v>
      </c>
      <c r="C132" s="88" t="b">
        <v>1</v>
      </c>
      <c r="D132" s="88" t="s">
        <v>236</v>
      </c>
      <c r="E132" s="88" t="s">
        <v>241</v>
      </c>
      <c r="F132" s="41" t="s">
        <v>295</v>
      </c>
      <c r="G132" s="89">
        <v>0.34929168840441499</v>
      </c>
      <c r="H132" s="89">
        <v>144.04394718804886</v>
      </c>
      <c r="I132" s="41" t="s">
        <v>293</v>
      </c>
      <c r="J132" s="89"/>
      <c r="K132" s="89"/>
      <c r="L132" s="89"/>
      <c r="M132" s="89"/>
    </row>
    <row r="133" spans="1:13">
      <c r="A133" s="88" t="s">
        <v>234</v>
      </c>
      <c r="B133" s="88" t="s">
        <v>291</v>
      </c>
      <c r="C133" s="88" t="b">
        <v>0</v>
      </c>
      <c r="D133" s="88" t="s">
        <v>236</v>
      </c>
      <c r="E133" s="88" t="s">
        <v>244</v>
      </c>
      <c r="F133" s="41" t="s">
        <v>296</v>
      </c>
      <c r="G133" s="89">
        <v>0.68317297907728547</v>
      </c>
      <c r="H133" s="89">
        <v>140.47357058250989</v>
      </c>
      <c r="I133" s="41" t="s">
        <v>293</v>
      </c>
      <c r="J133" s="89"/>
      <c r="K133" s="89"/>
      <c r="L133" s="89"/>
      <c r="M133" s="89"/>
    </row>
    <row r="134" spans="1:13">
      <c r="A134" s="88" t="s">
        <v>234</v>
      </c>
      <c r="B134" s="88" t="s">
        <v>291</v>
      </c>
      <c r="C134" s="88" t="b">
        <v>1</v>
      </c>
      <c r="D134" s="88" t="s">
        <v>247</v>
      </c>
      <c r="E134" s="88" t="s">
        <v>237</v>
      </c>
      <c r="F134" s="41" t="s">
        <v>297</v>
      </c>
      <c r="G134" s="89">
        <v>0.25721384406977738</v>
      </c>
      <c r="H134" s="89">
        <v>273.56640090093578</v>
      </c>
      <c r="I134" s="41" t="s">
        <v>298</v>
      </c>
      <c r="J134" s="89">
        <v>0.81793020120120818</v>
      </c>
      <c r="K134" s="89">
        <v>189.68295344445667</v>
      </c>
      <c r="L134" s="89"/>
      <c r="M134" s="89"/>
    </row>
    <row r="135" spans="1:13">
      <c r="A135" s="88" t="s">
        <v>234</v>
      </c>
      <c r="B135" s="88" t="s">
        <v>291</v>
      </c>
      <c r="C135" s="88" t="b">
        <v>0</v>
      </c>
      <c r="D135" s="88" t="s">
        <v>247</v>
      </c>
      <c r="E135" s="88" t="s">
        <v>241</v>
      </c>
      <c r="F135" s="41" t="s">
        <v>299</v>
      </c>
      <c r="G135" s="89">
        <v>0.74490325030985227</v>
      </c>
      <c r="H135" s="89">
        <v>185.51820594069079</v>
      </c>
      <c r="I135" s="41" t="s">
        <v>298</v>
      </c>
      <c r="J135" s="89"/>
      <c r="K135" s="89"/>
      <c r="L135" s="89"/>
      <c r="M135" s="89"/>
    </row>
    <row r="136" spans="1:13">
      <c r="A136" s="88" t="s">
        <v>234</v>
      </c>
      <c r="B136" s="88" t="s">
        <v>291</v>
      </c>
      <c r="C136" s="88" t="b">
        <v>1</v>
      </c>
      <c r="D136" s="88" t="s">
        <v>247</v>
      </c>
      <c r="E136" s="88" t="s">
        <v>241</v>
      </c>
      <c r="F136" s="41" t="s">
        <v>300</v>
      </c>
      <c r="G136" s="89">
        <v>0.70182658275333065</v>
      </c>
      <c r="H136" s="89">
        <v>177.91768232694116</v>
      </c>
      <c r="I136" s="41" t="s">
        <v>298</v>
      </c>
      <c r="J136" s="89"/>
      <c r="K136" s="89"/>
      <c r="L136" s="89"/>
      <c r="M136" s="89"/>
    </row>
    <row r="137" spans="1:13">
      <c r="A137" s="88" t="s">
        <v>234</v>
      </c>
      <c r="B137" s="88" t="s">
        <v>291</v>
      </c>
      <c r="C137" s="88" t="b">
        <v>0</v>
      </c>
      <c r="D137" s="88" t="s">
        <v>247</v>
      </c>
      <c r="E137" s="88" t="s">
        <v>244</v>
      </c>
      <c r="F137" s="41" t="s">
        <v>301</v>
      </c>
      <c r="G137" s="89">
        <v>1.1389153066720124</v>
      </c>
      <c r="H137" s="89">
        <v>152.81504064015928</v>
      </c>
      <c r="I137" s="41" t="s">
        <v>298</v>
      </c>
      <c r="J137" s="89"/>
      <c r="K137" s="89"/>
      <c r="L137" s="89"/>
      <c r="M137" s="89"/>
    </row>
    <row r="138" spans="1:13">
      <c r="A138" s="88" t="s">
        <v>234</v>
      </c>
      <c r="B138" s="88" t="s">
        <v>291</v>
      </c>
      <c r="C138" s="88" t="b">
        <v>1</v>
      </c>
      <c r="D138" s="88" t="s">
        <v>247</v>
      </c>
      <c r="E138" s="88" t="s">
        <v>244</v>
      </c>
      <c r="F138" s="41" t="s">
        <v>302</v>
      </c>
      <c r="G138" s="89">
        <v>1.0803788918821891</v>
      </c>
      <c r="H138" s="89">
        <v>141.38948155648106</v>
      </c>
      <c r="I138" s="41" t="s">
        <v>298</v>
      </c>
      <c r="J138" s="89"/>
      <c r="K138" s="89"/>
      <c r="L138" s="89"/>
      <c r="M138" s="89"/>
    </row>
    <row r="139" spans="1:13">
      <c r="A139" s="88" t="s">
        <v>234</v>
      </c>
      <c r="B139" s="88" t="s">
        <v>303</v>
      </c>
      <c r="C139" s="88" t="b">
        <v>0</v>
      </c>
      <c r="D139" s="88" t="s">
        <v>236</v>
      </c>
      <c r="E139" s="88" t="s">
        <v>241</v>
      </c>
      <c r="F139" s="41" t="s">
        <v>304</v>
      </c>
      <c r="G139" s="89">
        <v>0.19485536777010148</v>
      </c>
      <c r="H139" s="89">
        <v>12.151865571569491</v>
      </c>
      <c r="I139" s="41" t="s">
        <v>305</v>
      </c>
      <c r="J139" s="89">
        <v>0.6716117876309452</v>
      </c>
      <c r="K139" s="89">
        <v>28.367567411196362</v>
      </c>
      <c r="L139" s="89">
        <v>0.73182539423650528</v>
      </c>
      <c r="M139" s="89">
        <v>25.540632532125652</v>
      </c>
    </row>
    <row r="140" spans="1:13">
      <c r="A140" s="88" t="s">
        <v>234</v>
      </c>
      <c r="B140" s="88" t="s">
        <v>303</v>
      </c>
      <c r="C140" s="88" t="b">
        <v>1</v>
      </c>
      <c r="D140" s="88" t="s">
        <v>236</v>
      </c>
      <c r="E140" s="88" t="s">
        <v>241</v>
      </c>
      <c r="F140" s="41" t="s">
        <v>306</v>
      </c>
      <c r="G140" s="89">
        <v>0.19406521416291797</v>
      </c>
      <c r="H140" s="89">
        <v>12.051446244873375</v>
      </c>
      <c r="I140" s="41" t="s">
        <v>305</v>
      </c>
      <c r="J140" s="89"/>
      <c r="K140" s="89"/>
      <c r="L140" s="89"/>
      <c r="M140" s="89"/>
    </row>
    <row r="141" spans="1:13">
      <c r="A141" s="88" t="s">
        <v>234</v>
      </c>
      <c r="B141" s="88" t="s">
        <v>303</v>
      </c>
      <c r="C141" s="88" t="b">
        <v>0</v>
      </c>
      <c r="D141" s="88" t="s">
        <v>236</v>
      </c>
      <c r="E141" s="88" t="s">
        <v>244</v>
      </c>
      <c r="F141" s="41" t="s">
        <v>307</v>
      </c>
      <c r="G141" s="89">
        <v>0.51037243155106782</v>
      </c>
      <c r="H141" s="89">
        <v>11.29922082089538</v>
      </c>
      <c r="I141" s="41" t="s">
        <v>305</v>
      </c>
      <c r="J141" s="89"/>
      <c r="K141" s="89"/>
      <c r="L141" s="89"/>
      <c r="M141" s="89"/>
    </row>
    <row r="142" spans="1:13">
      <c r="A142" s="88" t="s">
        <v>234</v>
      </c>
      <c r="B142" s="88" t="s">
        <v>303</v>
      </c>
      <c r="C142" s="88" t="b">
        <v>1</v>
      </c>
      <c r="D142" s="88" t="s">
        <v>236</v>
      </c>
      <c r="E142" s="88" t="s">
        <v>244</v>
      </c>
      <c r="F142" s="41" t="s">
        <v>308</v>
      </c>
      <c r="G142" s="89">
        <v>0.50230162416829671</v>
      </c>
      <c r="H142" s="89">
        <v>11.169674687880343</v>
      </c>
      <c r="I142" s="41" t="s">
        <v>305</v>
      </c>
      <c r="J142" s="89"/>
      <c r="K142" s="89"/>
      <c r="L142" s="89"/>
      <c r="M142" s="89"/>
    </row>
    <row r="143" spans="1:13">
      <c r="A143" s="88" t="s">
        <v>234</v>
      </c>
      <c r="B143" s="88" t="s">
        <v>303</v>
      </c>
      <c r="C143" s="88" t="b">
        <v>0</v>
      </c>
      <c r="D143" s="88" t="s">
        <v>247</v>
      </c>
      <c r="E143" s="88" t="s">
        <v>241</v>
      </c>
      <c r="F143" s="41" t="s">
        <v>309</v>
      </c>
      <c r="G143" s="89">
        <v>0.40890224426859828</v>
      </c>
      <c r="H143" s="89">
        <v>17.317172600361545</v>
      </c>
      <c r="I143" s="41" t="s">
        <v>310</v>
      </c>
      <c r="J143" s="89">
        <v>0.97921237373386794</v>
      </c>
      <c r="K143" s="89">
        <v>18.100923243152902</v>
      </c>
      <c r="L143" s="89"/>
      <c r="M143" s="89"/>
    </row>
    <row r="144" spans="1:13">
      <c r="A144" s="88" t="s">
        <v>234</v>
      </c>
      <c r="B144" s="88" t="s">
        <v>303</v>
      </c>
      <c r="C144" s="88" t="b">
        <v>1</v>
      </c>
      <c r="D144" s="88" t="s">
        <v>247</v>
      </c>
      <c r="E144" s="88" t="s">
        <v>241</v>
      </c>
      <c r="F144" s="41" t="s">
        <v>311</v>
      </c>
      <c r="G144" s="89">
        <v>0.40794352232133491</v>
      </c>
      <c r="H144" s="89">
        <v>17.172880289019968</v>
      </c>
      <c r="I144" s="41" t="s">
        <v>310</v>
      </c>
      <c r="J144" s="89"/>
      <c r="K144" s="89"/>
      <c r="L144" s="89"/>
      <c r="M144" s="89"/>
    </row>
    <row r="145" spans="1:13">
      <c r="A145" s="88" t="s">
        <v>234</v>
      </c>
      <c r="B145" s="88" t="s">
        <v>303</v>
      </c>
      <c r="C145" s="88" t="b">
        <v>0</v>
      </c>
      <c r="D145" s="88" t="s">
        <v>247</v>
      </c>
      <c r="E145" s="88" t="s">
        <v>244</v>
      </c>
      <c r="F145" s="41" t="s">
        <v>312</v>
      </c>
      <c r="G145" s="89">
        <v>0.84007587371861181</v>
      </c>
      <c r="H145" s="89">
        <v>13.106029383370775</v>
      </c>
      <c r="I145" s="41" t="s">
        <v>310</v>
      </c>
      <c r="J145" s="89"/>
      <c r="K145" s="89"/>
      <c r="L145" s="89"/>
      <c r="M145" s="89"/>
    </row>
    <row r="146" spans="1:13">
      <c r="A146" s="88" t="s">
        <v>234</v>
      </c>
      <c r="B146" s="88" t="s">
        <v>303</v>
      </c>
      <c r="C146" s="88" t="b">
        <v>1</v>
      </c>
      <c r="D146" s="88" t="s">
        <v>247</v>
      </c>
      <c r="E146" s="88" t="s">
        <v>244</v>
      </c>
      <c r="F146" s="41" t="s">
        <v>313</v>
      </c>
      <c r="G146" s="89">
        <v>0.83041287019965004</v>
      </c>
      <c r="H146" s="89">
        <v>12.955904919074355</v>
      </c>
      <c r="I146" s="41" t="s">
        <v>310</v>
      </c>
      <c r="J146" s="89"/>
      <c r="K146" s="89"/>
      <c r="L146" s="89"/>
      <c r="M146" s="89"/>
    </row>
    <row r="147" spans="1:13">
      <c r="A147" s="88" t="s">
        <v>234</v>
      </c>
      <c r="B147" s="88" t="s">
        <v>314</v>
      </c>
      <c r="C147" s="88" t="b">
        <v>0</v>
      </c>
      <c r="D147" s="88" t="s">
        <v>236</v>
      </c>
      <c r="E147" s="88" t="s">
        <v>237</v>
      </c>
      <c r="F147" s="41" t="s">
        <v>315</v>
      </c>
      <c r="G147" s="89">
        <v>6.0672200009934799E-2</v>
      </c>
      <c r="H147" s="89">
        <v>13.020647179581212</v>
      </c>
      <c r="I147" s="41" t="s">
        <v>316</v>
      </c>
      <c r="J147" s="89">
        <v>0.17091668135947083</v>
      </c>
      <c r="K147" s="89">
        <v>11.133195049570837</v>
      </c>
      <c r="L147" s="89">
        <v>0.30276153251418442</v>
      </c>
      <c r="M147" s="89">
        <v>12.861959142681265</v>
      </c>
    </row>
    <row r="148" spans="1:13">
      <c r="A148" s="88" t="s">
        <v>234</v>
      </c>
      <c r="B148" s="88" t="s">
        <v>314</v>
      </c>
      <c r="C148" s="88" t="b">
        <v>1</v>
      </c>
      <c r="D148" s="88" t="s">
        <v>236</v>
      </c>
      <c r="E148" s="88" t="s">
        <v>237</v>
      </c>
      <c r="F148" s="41" t="s">
        <v>317</v>
      </c>
      <c r="G148" s="89">
        <v>6.0672075362998137E-2</v>
      </c>
      <c r="H148" s="89">
        <v>12.935297467149205</v>
      </c>
      <c r="I148" s="41" t="s">
        <v>316</v>
      </c>
      <c r="J148" s="89"/>
      <c r="K148" s="89"/>
      <c r="L148" s="89"/>
      <c r="M148" s="89"/>
    </row>
    <row r="149" spans="1:13">
      <c r="A149" s="88" t="s">
        <v>234</v>
      </c>
      <c r="B149" s="88" t="s">
        <v>314</v>
      </c>
      <c r="C149" s="88" t="b">
        <v>0</v>
      </c>
      <c r="D149" s="88" t="s">
        <v>236</v>
      </c>
      <c r="E149" s="88" t="s">
        <v>241</v>
      </c>
      <c r="F149" s="41" t="s">
        <v>318</v>
      </c>
      <c r="G149" s="89">
        <v>0.11462589030212797</v>
      </c>
      <c r="H149" s="89">
        <v>8.9298182028088924</v>
      </c>
      <c r="I149" s="41" t="s">
        <v>316</v>
      </c>
      <c r="J149" s="89"/>
      <c r="K149" s="89"/>
      <c r="L149" s="89"/>
      <c r="M149" s="89"/>
    </row>
    <row r="150" spans="1:13">
      <c r="A150" s="88" t="s">
        <v>234</v>
      </c>
      <c r="B150" s="88" t="s">
        <v>314</v>
      </c>
      <c r="C150" s="88" t="b">
        <v>1</v>
      </c>
      <c r="D150" s="88" t="s">
        <v>236</v>
      </c>
      <c r="E150" s="88" t="s">
        <v>241</v>
      </c>
      <c r="F150" s="41" t="s">
        <v>319</v>
      </c>
      <c r="G150" s="89">
        <v>0.11462570230665367</v>
      </c>
      <c r="H150" s="89">
        <v>8.8746237247586475</v>
      </c>
      <c r="I150" s="41" t="s">
        <v>316</v>
      </c>
      <c r="J150" s="89"/>
      <c r="K150" s="89"/>
      <c r="L150" s="89"/>
      <c r="M150" s="89"/>
    </row>
    <row r="151" spans="1:13">
      <c r="A151" s="88" t="s">
        <v>234</v>
      </c>
      <c r="B151" s="88" t="s">
        <v>314</v>
      </c>
      <c r="C151" s="88" t="b">
        <v>1</v>
      </c>
      <c r="D151" s="88" t="s">
        <v>236</v>
      </c>
      <c r="E151" s="88" t="s">
        <v>244</v>
      </c>
      <c r="F151" s="41" t="s">
        <v>320</v>
      </c>
      <c r="G151" s="89">
        <v>0.42625553365860647</v>
      </c>
      <c r="H151" s="89">
        <v>7.968457250884863</v>
      </c>
      <c r="I151" s="41" t="s">
        <v>316</v>
      </c>
      <c r="J151" s="89"/>
      <c r="K151" s="89"/>
      <c r="L151" s="89"/>
      <c r="M151" s="89"/>
    </row>
    <row r="152" spans="1:13">
      <c r="A152" s="88" t="s">
        <v>234</v>
      </c>
      <c r="B152" s="88" t="s">
        <v>314</v>
      </c>
      <c r="C152" s="88" t="b">
        <v>1</v>
      </c>
      <c r="D152" s="88" t="s">
        <v>247</v>
      </c>
      <c r="E152" s="88" t="s">
        <v>237</v>
      </c>
      <c r="F152" s="41" t="s">
        <v>321</v>
      </c>
      <c r="G152" s="89">
        <v>0.1095616587190448</v>
      </c>
      <c r="H152" s="89">
        <v>17.553094532003133</v>
      </c>
      <c r="I152" s="41" t="s">
        <v>322</v>
      </c>
      <c r="J152" s="89">
        <v>0.36922711563885163</v>
      </c>
      <c r="K152" s="89">
        <v>14.718467198365428</v>
      </c>
      <c r="L152" s="89"/>
      <c r="M152" s="89"/>
    </row>
    <row r="153" spans="1:13">
      <c r="A153" s="88" t="s">
        <v>234</v>
      </c>
      <c r="B153" s="88" t="s">
        <v>314</v>
      </c>
      <c r="C153" s="88" t="b">
        <v>0</v>
      </c>
      <c r="D153" s="88" t="s">
        <v>247</v>
      </c>
      <c r="E153" s="88" t="s">
        <v>241</v>
      </c>
      <c r="F153" s="41" t="s">
        <v>323</v>
      </c>
      <c r="G153" s="89">
        <v>0.21660279988560888</v>
      </c>
      <c r="H153" s="89">
        <v>13.750138144937067</v>
      </c>
      <c r="I153" s="41" t="s">
        <v>322</v>
      </c>
      <c r="J153" s="89"/>
      <c r="K153" s="89"/>
      <c r="L153" s="89"/>
      <c r="M153" s="89"/>
    </row>
    <row r="154" spans="1:13">
      <c r="A154" s="88" t="s">
        <v>234</v>
      </c>
      <c r="B154" s="88" t="s">
        <v>314</v>
      </c>
      <c r="C154" s="88" t="b">
        <v>1</v>
      </c>
      <c r="D154" s="88" t="s">
        <v>247</v>
      </c>
      <c r="E154" s="88" t="s">
        <v>241</v>
      </c>
      <c r="F154" s="41" t="s">
        <v>324</v>
      </c>
      <c r="G154" s="89">
        <v>0.21660255365244568</v>
      </c>
      <c r="H154" s="89">
        <v>13.664701251388232</v>
      </c>
      <c r="I154" s="41" t="s">
        <v>322</v>
      </c>
      <c r="J154" s="89"/>
      <c r="K154" s="89"/>
      <c r="L154" s="89"/>
      <c r="M154" s="89"/>
    </row>
    <row r="155" spans="1:13">
      <c r="A155" s="88" t="s">
        <v>234</v>
      </c>
      <c r="B155" s="88" t="s">
        <v>314</v>
      </c>
      <c r="C155" s="88" t="b">
        <v>0</v>
      </c>
      <c r="D155" s="88" t="s">
        <v>247</v>
      </c>
      <c r="E155" s="88" t="s">
        <v>244</v>
      </c>
      <c r="F155" s="41" t="s">
        <v>325</v>
      </c>
      <c r="G155" s="89">
        <v>0.68378358354918023</v>
      </c>
      <c r="H155" s="89">
        <v>9.6469036437115747</v>
      </c>
      <c r="I155" s="41" t="s">
        <v>322</v>
      </c>
      <c r="J155" s="89"/>
      <c r="K155" s="89"/>
      <c r="L155" s="89"/>
      <c r="M155" s="89"/>
    </row>
    <row r="156" spans="1:13">
      <c r="A156" s="88" t="s">
        <v>234</v>
      </c>
      <c r="B156" s="88" t="s">
        <v>314</v>
      </c>
      <c r="C156" s="88" t="b">
        <v>1</v>
      </c>
      <c r="D156" s="88" t="s">
        <v>247</v>
      </c>
      <c r="E156" s="88" t="s">
        <v>244</v>
      </c>
      <c r="F156" s="41" t="s">
        <v>326</v>
      </c>
      <c r="G156" s="89">
        <v>0.68375757286770056</v>
      </c>
      <c r="H156" s="89">
        <v>9.6235789743269002</v>
      </c>
      <c r="I156" s="41" t="s">
        <v>322</v>
      </c>
      <c r="J156" s="89"/>
      <c r="K156" s="89"/>
      <c r="L156" s="89"/>
      <c r="M156" s="89"/>
    </row>
    <row r="157" spans="1:13">
      <c r="A157" s="88" t="s">
        <v>234</v>
      </c>
      <c r="B157" s="88" t="s">
        <v>327</v>
      </c>
      <c r="C157" s="88" t="b">
        <v>0</v>
      </c>
      <c r="D157" s="88" t="s">
        <v>236</v>
      </c>
      <c r="E157" s="88" t="s">
        <v>237</v>
      </c>
      <c r="F157" s="41" t="s">
        <v>328</v>
      </c>
      <c r="G157" s="89">
        <v>5.8549659197759278E-2</v>
      </c>
      <c r="H157" s="89">
        <v>27.392643983079061</v>
      </c>
      <c r="I157" s="41" t="s">
        <v>329</v>
      </c>
      <c r="J157" s="89">
        <v>0.3781807342474876</v>
      </c>
      <c r="K157" s="89">
        <v>28.999372590394682</v>
      </c>
      <c r="L157" s="89">
        <v>0.63027783240218505</v>
      </c>
      <c r="M157" s="89">
        <v>33.736024462665924</v>
      </c>
    </row>
    <row r="158" spans="1:13">
      <c r="A158" s="88" t="s">
        <v>234</v>
      </c>
      <c r="B158" s="88" t="s">
        <v>327</v>
      </c>
      <c r="C158" s="88" t="b">
        <v>1</v>
      </c>
      <c r="D158" s="88" t="s">
        <v>236</v>
      </c>
      <c r="E158" s="88" t="s">
        <v>237</v>
      </c>
      <c r="F158" s="41" t="s">
        <v>330</v>
      </c>
      <c r="G158" s="89">
        <v>5.8326156497808472E-2</v>
      </c>
      <c r="H158" s="89">
        <v>27.326084548070323</v>
      </c>
      <c r="I158" s="41" t="s">
        <v>329</v>
      </c>
      <c r="J158" s="89"/>
      <c r="K158" s="89"/>
      <c r="L158" s="89"/>
      <c r="M158" s="89"/>
    </row>
    <row r="159" spans="1:13">
      <c r="A159" s="88" t="s">
        <v>234</v>
      </c>
      <c r="B159" s="88" t="s">
        <v>327</v>
      </c>
      <c r="C159" s="88" t="b">
        <v>0</v>
      </c>
      <c r="D159" s="88" t="s">
        <v>236</v>
      </c>
      <c r="E159" s="88" t="s">
        <v>241</v>
      </c>
      <c r="F159" s="41" t="s">
        <v>331</v>
      </c>
      <c r="G159" s="89">
        <v>0.28503442026999537</v>
      </c>
      <c r="H159" s="89">
        <v>18.961889010943114</v>
      </c>
      <c r="I159" s="41" t="s">
        <v>329</v>
      </c>
      <c r="J159" s="89"/>
      <c r="K159" s="89"/>
      <c r="L159" s="89"/>
      <c r="M159" s="89"/>
    </row>
    <row r="160" spans="1:13">
      <c r="A160" s="88" t="s">
        <v>234</v>
      </c>
      <c r="B160" s="88" t="s">
        <v>327</v>
      </c>
      <c r="C160" s="88" t="b">
        <v>1</v>
      </c>
      <c r="D160" s="88" t="s">
        <v>236</v>
      </c>
      <c r="E160" s="88" t="s">
        <v>241</v>
      </c>
      <c r="F160" s="41" t="s">
        <v>332</v>
      </c>
      <c r="G160" s="89">
        <v>0.28293019935410368</v>
      </c>
      <c r="H160" s="89">
        <v>18.759212606458391</v>
      </c>
      <c r="I160" s="41" t="s">
        <v>329</v>
      </c>
      <c r="J160" s="89"/>
      <c r="K160" s="89"/>
      <c r="L160" s="89"/>
      <c r="M160" s="89"/>
    </row>
    <row r="161" spans="1:13">
      <c r="A161" s="88" t="s">
        <v>234</v>
      </c>
      <c r="B161" s="88" t="s">
        <v>327</v>
      </c>
      <c r="C161" s="88" t="b">
        <v>1</v>
      </c>
      <c r="D161" s="88" t="s">
        <v>236</v>
      </c>
      <c r="E161" s="88" t="s">
        <v>244</v>
      </c>
      <c r="F161" s="41" t="s">
        <v>333</v>
      </c>
      <c r="G161" s="89">
        <v>0.55324242899211029</v>
      </c>
      <c r="H161" s="89">
        <v>18.828528463047611</v>
      </c>
      <c r="I161" s="41" t="s">
        <v>329</v>
      </c>
      <c r="J161" s="89"/>
      <c r="K161" s="89"/>
      <c r="L161" s="89"/>
      <c r="M161" s="89"/>
    </row>
    <row r="162" spans="1:13">
      <c r="A162" s="88" t="s">
        <v>234</v>
      </c>
      <c r="B162" s="88" t="s">
        <v>327</v>
      </c>
      <c r="C162" s="88" t="b">
        <v>1</v>
      </c>
      <c r="D162" s="88" t="s">
        <v>247</v>
      </c>
      <c r="E162" s="88" t="s">
        <v>237</v>
      </c>
      <c r="F162" s="41" t="s">
        <v>334</v>
      </c>
      <c r="G162" s="89">
        <v>0.1437460000833149</v>
      </c>
      <c r="H162" s="89">
        <v>33.10889044095164</v>
      </c>
      <c r="I162" s="41" t="s">
        <v>335</v>
      </c>
      <c r="J162" s="89">
        <v>0.76238310456354264</v>
      </c>
      <c r="K162" s="89">
        <v>33.045338699420967</v>
      </c>
      <c r="L162" s="89"/>
      <c r="M162" s="89"/>
    </row>
    <row r="163" spans="1:13">
      <c r="A163" s="88" t="s">
        <v>234</v>
      </c>
      <c r="B163" s="88" t="s">
        <v>327</v>
      </c>
      <c r="C163" s="88" t="b">
        <v>0</v>
      </c>
      <c r="D163" s="88" t="s">
        <v>247</v>
      </c>
      <c r="E163" s="88" t="s">
        <v>241</v>
      </c>
      <c r="F163" s="41" t="s">
        <v>336</v>
      </c>
      <c r="G163" s="89">
        <v>0.59781542523795927</v>
      </c>
      <c r="H163" s="89">
        <v>24.323101999615183</v>
      </c>
      <c r="I163" s="41" t="s">
        <v>335</v>
      </c>
      <c r="J163" s="89"/>
      <c r="K163" s="89"/>
      <c r="L163" s="89"/>
      <c r="M163" s="89"/>
    </row>
    <row r="164" spans="1:13">
      <c r="A164" s="88" t="s">
        <v>234</v>
      </c>
      <c r="B164" s="88" t="s">
        <v>327</v>
      </c>
      <c r="C164" s="88" t="b">
        <v>1</v>
      </c>
      <c r="D164" s="88" t="s">
        <v>247</v>
      </c>
      <c r="E164" s="88" t="s">
        <v>241</v>
      </c>
      <c r="F164" s="41" t="s">
        <v>337</v>
      </c>
      <c r="G164" s="89">
        <v>0.59527919024563358</v>
      </c>
      <c r="H164" s="89">
        <v>24.06111159672875</v>
      </c>
      <c r="I164" s="41" t="s">
        <v>335</v>
      </c>
      <c r="J164" s="89"/>
      <c r="K164" s="89"/>
      <c r="L164" s="89"/>
      <c r="M164" s="89"/>
    </row>
    <row r="165" spans="1:13">
      <c r="A165" s="88" t="s">
        <v>234</v>
      </c>
      <c r="B165" s="88" t="s">
        <v>327</v>
      </c>
      <c r="C165" s="88" t="b">
        <v>0</v>
      </c>
      <c r="D165" s="88" t="s">
        <v>247</v>
      </c>
      <c r="E165" s="88" t="s">
        <v>244</v>
      </c>
      <c r="F165" s="41" t="s">
        <v>338</v>
      </c>
      <c r="G165" s="89">
        <v>0.94915087868382153</v>
      </c>
      <c r="H165" s="89">
        <v>20.979969777068753</v>
      </c>
      <c r="I165" s="41" t="s">
        <v>335</v>
      </c>
      <c r="J165" s="89"/>
      <c r="K165" s="89"/>
      <c r="L165" s="89"/>
      <c r="M165" s="89"/>
    </row>
    <row r="166" spans="1:13">
      <c r="A166" s="88" t="s">
        <v>234</v>
      </c>
      <c r="B166" s="88" t="s">
        <v>327</v>
      </c>
      <c r="C166" s="88" t="b">
        <v>1</v>
      </c>
      <c r="D166" s="88" t="s">
        <v>247</v>
      </c>
      <c r="E166" s="88" t="s">
        <v>244</v>
      </c>
      <c r="F166" s="41" t="s">
        <v>339</v>
      </c>
      <c r="G166" s="89">
        <v>0.94476987368161325</v>
      </c>
      <c r="H166" s="89">
        <v>20.640938879934467</v>
      </c>
      <c r="I166" s="41" t="s">
        <v>335</v>
      </c>
      <c r="J166" s="89"/>
      <c r="K166" s="89"/>
      <c r="L166" s="89"/>
      <c r="M166" s="89"/>
    </row>
    <row r="167" spans="1:13">
      <c r="A167" s="88" t="s">
        <v>340</v>
      </c>
      <c r="B167" s="88" t="s">
        <v>235</v>
      </c>
      <c r="C167" s="88" t="b">
        <v>0</v>
      </c>
      <c r="D167" s="88" t="s">
        <v>236</v>
      </c>
      <c r="E167" s="88" t="s">
        <v>237</v>
      </c>
      <c r="F167" s="41" t="s">
        <v>341</v>
      </c>
      <c r="G167" s="89">
        <v>5.8844914245112623E-2</v>
      </c>
      <c r="H167" s="89">
        <v>26.211346635689221</v>
      </c>
      <c r="I167" s="41" t="s">
        <v>239</v>
      </c>
      <c r="J167" s="89"/>
      <c r="K167" s="89"/>
      <c r="L167" s="89"/>
      <c r="M167" s="89"/>
    </row>
    <row r="168" spans="1:13">
      <c r="A168" s="88" t="s">
        <v>340</v>
      </c>
      <c r="B168" s="88" t="s">
        <v>235</v>
      </c>
      <c r="C168" s="88" t="b">
        <v>1</v>
      </c>
      <c r="D168" s="88" t="s">
        <v>236</v>
      </c>
      <c r="E168" s="88" t="s">
        <v>237</v>
      </c>
      <c r="F168" s="41" t="s">
        <v>342</v>
      </c>
      <c r="G168" s="89">
        <v>5.8839070554781429E-2</v>
      </c>
      <c r="H168" s="89">
        <v>26.128166052717503</v>
      </c>
      <c r="I168" s="41" t="s">
        <v>239</v>
      </c>
      <c r="J168" s="89"/>
      <c r="K168" s="89"/>
      <c r="L168" s="89"/>
      <c r="M168" s="89"/>
    </row>
    <row r="169" spans="1:13">
      <c r="A169" s="88" t="s">
        <v>340</v>
      </c>
      <c r="B169" s="88" t="s">
        <v>235</v>
      </c>
      <c r="C169" s="88" t="b">
        <v>0</v>
      </c>
      <c r="D169" s="88" t="s">
        <v>236</v>
      </c>
      <c r="E169" s="88" t="s">
        <v>241</v>
      </c>
      <c r="F169" s="41" t="s">
        <v>343</v>
      </c>
      <c r="G169" s="89">
        <v>0.33844189922830326</v>
      </c>
      <c r="H169" s="89">
        <v>19.28725082291794</v>
      </c>
      <c r="I169" s="41" t="s">
        <v>239</v>
      </c>
      <c r="J169" s="89"/>
      <c r="K169" s="89"/>
      <c r="L169" s="89"/>
      <c r="M169" s="89"/>
    </row>
    <row r="170" spans="1:13">
      <c r="A170" s="88" t="s">
        <v>340</v>
      </c>
      <c r="B170" s="88" t="s">
        <v>235</v>
      </c>
      <c r="C170" s="88" t="b">
        <v>1</v>
      </c>
      <c r="D170" s="88" t="s">
        <v>236</v>
      </c>
      <c r="E170" s="88" t="s">
        <v>241</v>
      </c>
      <c r="F170" s="41" t="s">
        <v>344</v>
      </c>
      <c r="G170" s="89">
        <v>0.33840538996631264</v>
      </c>
      <c r="H170" s="89">
        <v>19.230392512968677</v>
      </c>
      <c r="I170" s="41" t="s">
        <v>239</v>
      </c>
      <c r="J170" s="89"/>
      <c r="K170" s="89"/>
      <c r="L170" s="89"/>
      <c r="M170" s="89"/>
    </row>
    <row r="171" spans="1:13">
      <c r="A171" s="88" t="s">
        <v>340</v>
      </c>
      <c r="B171" s="88" t="s">
        <v>235</v>
      </c>
      <c r="C171" s="88" t="b">
        <v>0</v>
      </c>
      <c r="D171" s="88" t="s">
        <v>236</v>
      </c>
      <c r="E171" s="88" t="s">
        <v>244</v>
      </c>
      <c r="F171" s="41" t="s">
        <v>345</v>
      </c>
      <c r="G171" s="89">
        <v>0.55537314979650387</v>
      </c>
      <c r="H171" s="89">
        <v>20.615973672195377</v>
      </c>
      <c r="I171" s="41" t="s">
        <v>239</v>
      </c>
      <c r="J171" s="89"/>
      <c r="K171" s="89"/>
      <c r="L171" s="89"/>
      <c r="M171" s="89"/>
    </row>
    <row r="172" spans="1:13">
      <c r="A172" s="88" t="s">
        <v>340</v>
      </c>
      <c r="B172" s="88" t="s">
        <v>235</v>
      </c>
      <c r="C172" s="88" t="b">
        <v>1</v>
      </c>
      <c r="D172" s="88" t="s">
        <v>236</v>
      </c>
      <c r="E172" s="88" t="s">
        <v>244</v>
      </c>
      <c r="F172" s="41" t="s">
        <v>346</v>
      </c>
      <c r="G172" s="89">
        <v>0.55529825679118006</v>
      </c>
      <c r="H172" s="89">
        <v>20.559597006785399</v>
      </c>
      <c r="I172" s="41" t="s">
        <v>239</v>
      </c>
      <c r="J172" s="89"/>
      <c r="K172" s="89"/>
      <c r="L172" s="89"/>
      <c r="M172" s="89"/>
    </row>
    <row r="173" spans="1:13">
      <c r="A173" s="88" t="s">
        <v>340</v>
      </c>
      <c r="B173" s="88" t="s">
        <v>235</v>
      </c>
      <c r="C173" s="88" t="b">
        <v>1</v>
      </c>
      <c r="D173" s="88" t="s">
        <v>247</v>
      </c>
      <c r="E173" s="88" t="s">
        <v>237</v>
      </c>
      <c r="F173" s="41" t="s">
        <v>347</v>
      </c>
      <c r="G173" s="89">
        <v>0.16841561522465145</v>
      </c>
      <c r="H173" s="89">
        <v>31.209026723942472</v>
      </c>
      <c r="I173" s="41" t="s">
        <v>249</v>
      </c>
      <c r="J173" s="89"/>
      <c r="K173" s="89"/>
      <c r="L173" s="89"/>
      <c r="M173" s="89"/>
    </row>
    <row r="174" spans="1:13">
      <c r="A174" s="88" t="s">
        <v>340</v>
      </c>
      <c r="B174" s="88" t="s">
        <v>235</v>
      </c>
      <c r="C174" s="88" t="b">
        <v>1</v>
      </c>
      <c r="D174" s="88" t="s">
        <v>247</v>
      </c>
      <c r="E174" s="88" t="s">
        <v>241</v>
      </c>
      <c r="F174" s="41" t="s">
        <v>348</v>
      </c>
      <c r="G174" s="89">
        <v>0.72868942160477856</v>
      </c>
      <c r="H174" s="89">
        <v>23.991401773498918</v>
      </c>
      <c r="I174" s="41" t="s">
        <v>249</v>
      </c>
      <c r="J174" s="89"/>
      <c r="K174" s="89"/>
      <c r="L174" s="89"/>
      <c r="M174" s="89"/>
    </row>
    <row r="175" spans="1:13">
      <c r="A175" s="88" t="s">
        <v>340</v>
      </c>
      <c r="B175" s="88" t="s">
        <v>235</v>
      </c>
      <c r="C175" s="88" t="b">
        <v>1</v>
      </c>
      <c r="D175" s="88" t="s">
        <v>247</v>
      </c>
      <c r="E175" s="88" t="s">
        <v>244</v>
      </c>
      <c r="F175" s="41" t="s">
        <v>349</v>
      </c>
      <c r="G175" s="89">
        <v>0.97933189279715005</v>
      </c>
      <c r="H175" s="89">
        <v>22.545403938828116</v>
      </c>
      <c r="I175" s="41" t="s">
        <v>249</v>
      </c>
      <c r="J175" s="89"/>
      <c r="K175" s="89"/>
      <c r="L175" s="89"/>
      <c r="M175" s="89"/>
    </row>
    <row r="176" spans="1:13">
      <c r="A176" s="88" t="s">
        <v>340</v>
      </c>
      <c r="B176" s="88" t="s">
        <v>255</v>
      </c>
      <c r="C176" s="88" t="b">
        <v>0</v>
      </c>
      <c r="D176" s="88" t="s">
        <v>236</v>
      </c>
      <c r="E176" s="88" t="s">
        <v>237</v>
      </c>
      <c r="F176" s="41" t="s">
        <v>350</v>
      </c>
      <c r="G176" s="89">
        <v>5.198500187869616E-2</v>
      </c>
      <c r="H176" s="89">
        <v>24.767149607047241</v>
      </c>
      <c r="I176" s="41" t="s">
        <v>257</v>
      </c>
      <c r="J176" s="89"/>
      <c r="K176" s="89"/>
      <c r="L176" s="89"/>
      <c r="M176" s="89"/>
    </row>
    <row r="177" spans="1:13">
      <c r="A177" s="88" t="s">
        <v>340</v>
      </c>
      <c r="B177" s="88" t="s">
        <v>255</v>
      </c>
      <c r="C177" s="88" t="b">
        <v>1</v>
      </c>
      <c r="D177" s="88" t="s">
        <v>236</v>
      </c>
      <c r="E177" s="88" t="s">
        <v>237</v>
      </c>
      <c r="F177" s="41" t="s">
        <v>351</v>
      </c>
      <c r="G177" s="89">
        <v>5.198500187869616E-2</v>
      </c>
      <c r="H177" s="89">
        <v>24.700984596260902</v>
      </c>
      <c r="I177" s="41" t="s">
        <v>257</v>
      </c>
      <c r="J177" s="89"/>
      <c r="K177" s="89"/>
      <c r="L177" s="89"/>
      <c r="M177" s="89"/>
    </row>
    <row r="178" spans="1:13">
      <c r="A178" s="88" t="s">
        <v>340</v>
      </c>
      <c r="B178" s="88" t="s">
        <v>255</v>
      </c>
      <c r="C178" s="88" t="b">
        <v>0</v>
      </c>
      <c r="D178" s="88" t="s">
        <v>236</v>
      </c>
      <c r="E178" s="88" t="s">
        <v>241</v>
      </c>
      <c r="F178" s="41" t="s">
        <v>352</v>
      </c>
      <c r="G178" s="89">
        <v>0.28633129853386352</v>
      </c>
      <c r="H178" s="89">
        <v>17.457359930685143</v>
      </c>
      <c r="I178" s="41" t="s">
        <v>257</v>
      </c>
      <c r="J178" s="89"/>
      <c r="K178" s="89"/>
      <c r="L178" s="89"/>
      <c r="M178" s="89"/>
    </row>
    <row r="179" spans="1:13">
      <c r="A179" s="88" t="s">
        <v>340</v>
      </c>
      <c r="B179" s="88" t="s">
        <v>255</v>
      </c>
      <c r="C179" s="88" t="b">
        <v>1</v>
      </c>
      <c r="D179" s="88" t="s">
        <v>236</v>
      </c>
      <c r="E179" s="88" t="s">
        <v>241</v>
      </c>
      <c r="F179" s="41" t="s">
        <v>353</v>
      </c>
      <c r="G179" s="89">
        <v>0.28633129853386352</v>
      </c>
      <c r="H179" s="89">
        <v>17.414790188386139</v>
      </c>
      <c r="I179" s="41" t="s">
        <v>257</v>
      </c>
      <c r="J179" s="89"/>
      <c r="K179" s="89"/>
      <c r="L179" s="89"/>
      <c r="M179" s="89"/>
    </row>
    <row r="180" spans="1:13">
      <c r="A180" s="88" t="s">
        <v>340</v>
      </c>
      <c r="B180" s="88" t="s">
        <v>255</v>
      </c>
      <c r="C180" s="88" t="b">
        <v>0</v>
      </c>
      <c r="D180" s="88" t="s">
        <v>236</v>
      </c>
      <c r="E180" s="88" t="s">
        <v>244</v>
      </c>
      <c r="F180" s="41" t="s">
        <v>354</v>
      </c>
      <c r="G180" s="89">
        <v>0.48944174853120925</v>
      </c>
      <c r="H180" s="89">
        <v>18.203905149709165</v>
      </c>
      <c r="I180" s="41" t="s">
        <v>257</v>
      </c>
      <c r="J180" s="89"/>
      <c r="K180" s="89"/>
      <c r="L180" s="89"/>
      <c r="M180" s="89"/>
    </row>
    <row r="181" spans="1:13">
      <c r="A181" s="88" t="s">
        <v>340</v>
      </c>
      <c r="B181" s="88" t="s">
        <v>255</v>
      </c>
      <c r="C181" s="88" t="b">
        <v>1</v>
      </c>
      <c r="D181" s="88" t="s">
        <v>236</v>
      </c>
      <c r="E181" s="88" t="s">
        <v>244</v>
      </c>
      <c r="F181" s="41" t="s">
        <v>355</v>
      </c>
      <c r="G181" s="89">
        <v>0.48944174853120925</v>
      </c>
      <c r="H181" s="89">
        <v>18.162921346874633</v>
      </c>
      <c r="I181" s="41" t="s">
        <v>257</v>
      </c>
      <c r="J181" s="89"/>
      <c r="K181" s="89"/>
      <c r="L181" s="89"/>
      <c r="M181" s="89"/>
    </row>
    <row r="182" spans="1:13">
      <c r="A182" s="88" t="s">
        <v>340</v>
      </c>
      <c r="B182" s="88" t="s">
        <v>255</v>
      </c>
      <c r="C182" s="88" t="b">
        <v>1</v>
      </c>
      <c r="D182" s="88" t="s">
        <v>247</v>
      </c>
      <c r="E182" s="88" t="s">
        <v>241</v>
      </c>
      <c r="F182" s="41" t="s">
        <v>356</v>
      </c>
      <c r="G182" s="89">
        <v>0.60567856161995204</v>
      </c>
      <c r="H182" s="89">
        <v>21.558417111915883</v>
      </c>
      <c r="I182" s="41" t="s">
        <v>263</v>
      </c>
      <c r="J182" s="89"/>
      <c r="K182" s="89"/>
      <c r="L182" s="89"/>
      <c r="M182" s="89"/>
    </row>
    <row r="183" spans="1:13">
      <c r="A183" s="88" t="s">
        <v>340</v>
      </c>
      <c r="B183" s="88" t="s">
        <v>255</v>
      </c>
      <c r="C183" s="88" t="b">
        <v>1</v>
      </c>
      <c r="D183" s="88" t="s">
        <v>247</v>
      </c>
      <c r="E183" s="88" t="s">
        <v>244</v>
      </c>
      <c r="F183" s="41" t="s">
        <v>357</v>
      </c>
      <c r="G183" s="89">
        <v>0.84818646877228876</v>
      </c>
      <c r="H183" s="89">
        <v>19.533519400617084</v>
      </c>
      <c r="I183" s="41" t="s">
        <v>263</v>
      </c>
      <c r="J183" s="89"/>
      <c r="K183" s="89"/>
      <c r="L183" s="89"/>
      <c r="M183" s="89"/>
    </row>
    <row r="184" spans="1:13">
      <c r="A184" s="88" t="s">
        <v>340</v>
      </c>
      <c r="B184" s="88" t="s">
        <v>269</v>
      </c>
      <c r="C184" s="88" t="b">
        <v>1</v>
      </c>
      <c r="D184" s="88" t="s">
        <v>236</v>
      </c>
      <c r="E184" s="88" t="s">
        <v>237</v>
      </c>
      <c r="F184" s="41" t="s">
        <v>358</v>
      </c>
      <c r="G184" s="89">
        <v>5.2234373140146201E-2</v>
      </c>
      <c r="H184" s="89">
        <v>21.856923693480208</v>
      </c>
      <c r="I184" s="41" t="s">
        <v>271</v>
      </c>
      <c r="J184" s="89"/>
      <c r="K184" s="89"/>
      <c r="L184" s="89"/>
      <c r="M184" s="89"/>
    </row>
    <row r="185" spans="1:13">
      <c r="A185" s="88" t="s">
        <v>340</v>
      </c>
      <c r="B185" s="88" t="s">
        <v>269</v>
      </c>
      <c r="C185" s="88" t="b">
        <v>1</v>
      </c>
      <c r="D185" s="88" t="s">
        <v>236</v>
      </c>
      <c r="E185" s="88" t="s">
        <v>241</v>
      </c>
      <c r="F185" s="41" t="s">
        <v>359</v>
      </c>
      <c r="G185" s="89">
        <v>0.30550054578222169</v>
      </c>
      <c r="H185" s="89">
        <v>15.388424931643879</v>
      </c>
      <c r="I185" s="41" t="s">
        <v>271</v>
      </c>
      <c r="J185" s="89"/>
      <c r="K185" s="89"/>
      <c r="L185" s="89"/>
      <c r="M185" s="89"/>
    </row>
    <row r="186" spans="1:13">
      <c r="A186" s="88" t="s">
        <v>340</v>
      </c>
      <c r="B186" s="88" t="s">
        <v>269</v>
      </c>
      <c r="C186" s="88" t="b">
        <v>0</v>
      </c>
      <c r="D186" s="88" t="s">
        <v>236</v>
      </c>
      <c r="E186" s="88" t="s">
        <v>244</v>
      </c>
      <c r="F186" s="41" t="s">
        <v>360</v>
      </c>
      <c r="G186" s="89">
        <v>0.520093146789807</v>
      </c>
      <c r="H186" s="89">
        <v>15.99315959287355</v>
      </c>
      <c r="I186" s="41" t="s">
        <v>271</v>
      </c>
      <c r="J186" s="89"/>
      <c r="K186" s="89"/>
      <c r="L186" s="89"/>
      <c r="M186" s="89"/>
    </row>
    <row r="187" spans="1:13">
      <c r="A187" s="88" t="s">
        <v>340</v>
      </c>
      <c r="B187" s="88" t="s">
        <v>269</v>
      </c>
      <c r="C187" s="88" t="b">
        <v>1</v>
      </c>
      <c r="D187" s="88" t="s">
        <v>236</v>
      </c>
      <c r="E187" s="88" t="s">
        <v>244</v>
      </c>
      <c r="F187" s="41" t="s">
        <v>361</v>
      </c>
      <c r="G187" s="89">
        <v>0.520093146789807</v>
      </c>
      <c r="H187" s="89">
        <v>15.956146316724507</v>
      </c>
      <c r="I187" s="41" t="s">
        <v>271</v>
      </c>
      <c r="J187" s="89"/>
      <c r="K187" s="89"/>
      <c r="L187" s="89"/>
      <c r="M187" s="89"/>
    </row>
    <row r="188" spans="1:13">
      <c r="A188" s="88" t="s">
        <v>340</v>
      </c>
      <c r="B188" s="88" t="s">
        <v>269</v>
      </c>
      <c r="C188" s="88" t="b">
        <v>1</v>
      </c>
      <c r="D188" s="88" t="s">
        <v>247</v>
      </c>
      <c r="E188" s="88" t="s">
        <v>241</v>
      </c>
      <c r="F188" s="41" t="s">
        <v>362</v>
      </c>
      <c r="G188" s="89">
        <v>0.64434818327461829</v>
      </c>
      <c r="H188" s="89">
        <v>19.047218353581222</v>
      </c>
      <c r="I188" s="41" t="s">
        <v>275</v>
      </c>
      <c r="J188" s="89"/>
      <c r="K188" s="89"/>
      <c r="L188" s="89"/>
      <c r="M188" s="89"/>
    </row>
    <row r="189" spans="1:13">
      <c r="A189" s="88" t="s">
        <v>340</v>
      </c>
      <c r="B189" s="88" t="s">
        <v>278</v>
      </c>
      <c r="C189" s="88" t="b">
        <v>1</v>
      </c>
      <c r="D189" s="88" t="s">
        <v>236</v>
      </c>
      <c r="E189" s="88" t="s">
        <v>237</v>
      </c>
      <c r="F189" s="41" t="s">
        <v>363</v>
      </c>
      <c r="G189" s="89">
        <v>7.9839823205766242E-2</v>
      </c>
      <c r="H189" s="89">
        <v>101.74190472461382</v>
      </c>
      <c r="I189" s="41" t="s">
        <v>280</v>
      </c>
      <c r="J189" s="89"/>
      <c r="K189" s="89"/>
      <c r="L189" s="89"/>
      <c r="M189" s="89"/>
    </row>
    <row r="190" spans="1:13">
      <c r="A190" s="88" t="s">
        <v>340</v>
      </c>
      <c r="B190" s="88" t="s">
        <v>278</v>
      </c>
      <c r="C190" s="88" t="b">
        <v>0</v>
      </c>
      <c r="D190" s="88" t="s">
        <v>236</v>
      </c>
      <c r="E190" s="88" t="s">
        <v>241</v>
      </c>
      <c r="F190" s="41" t="s">
        <v>364</v>
      </c>
      <c r="G190" s="89">
        <v>0.38182306322819182</v>
      </c>
      <c r="H190" s="89">
        <v>67.003563707483039</v>
      </c>
      <c r="I190" s="41" t="s">
        <v>280</v>
      </c>
      <c r="J190" s="89"/>
      <c r="K190" s="89"/>
      <c r="L190" s="89"/>
      <c r="M190" s="89"/>
    </row>
    <row r="191" spans="1:13">
      <c r="A191" s="88" t="s">
        <v>340</v>
      </c>
      <c r="B191" s="88" t="s">
        <v>278</v>
      </c>
      <c r="C191" s="88" t="b">
        <v>1</v>
      </c>
      <c r="D191" s="88" t="s">
        <v>236</v>
      </c>
      <c r="E191" s="88" t="s">
        <v>241</v>
      </c>
      <c r="F191" s="41" t="s">
        <v>365</v>
      </c>
      <c r="G191" s="89">
        <v>0.35469709333389193</v>
      </c>
      <c r="H191" s="89">
        <v>64.585206611206303</v>
      </c>
      <c r="I191" s="41" t="s">
        <v>280</v>
      </c>
      <c r="J191" s="89"/>
      <c r="K191" s="89"/>
      <c r="L191" s="89"/>
      <c r="M191" s="89"/>
    </row>
    <row r="192" spans="1:13">
      <c r="A192" s="88" t="s">
        <v>340</v>
      </c>
      <c r="B192" s="88" t="s">
        <v>278</v>
      </c>
      <c r="C192" s="88" t="b">
        <v>0</v>
      </c>
      <c r="D192" s="88" t="s">
        <v>236</v>
      </c>
      <c r="E192" s="88" t="s">
        <v>244</v>
      </c>
      <c r="F192" s="41" t="s">
        <v>366</v>
      </c>
      <c r="G192" s="89">
        <v>0.61708064722992895</v>
      </c>
      <c r="H192" s="89">
        <v>64.611228891851098</v>
      </c>
      <c r="I192" s="41" t="s">
        <v>280</v>
      </c>
      <c r="J192" s="89"/>
      <c r="K192" s="89"/>
      <c r="L192" s="89"/>
      <c r="M192" s="89"/>
    </row>
    <row r="193" spans="1:13">
      <c r="A193" s="88" t="s">
        <v>340</v>
      </c>
      <c r="B193" s="88" t="s">
        <v>278</v>
      </c>
      <c r="C193" s="88" t="b">
        <v>1</v>
      </c>
      <c r="D193" s="88" t="s">
        <v>236</v>
      </c>
      <c r="E193" s="88" t="s">
        <v>244</v>
      </c>
      <c r="F193" s="41" t="s">
        <v>367</v>
      </c>
      <c r="G193" s="89">
        <v>0.5777352235575095</v>
      </c>
      <c r="H193" s="89">
        <v>60.937117661805068</v>
      </c>
      <c r="I193" s="41" t="s">
        <v>280</v>
      </c>
      <c r="J193" s="89"/>
      <c r="K193" s="89"/>
      <c r="L193" s="89"/>
      <c r="M193" s="89"/>
    </row>
    <row r="194" spans="1:13">
      <c r="A194" s="88" t="s">
        <v>340</v>
      </c>
      <c r="B194" s="88" t="s">
        <v>278</v>
      </c>
      <c r="C194" s="88" t="b">
        <v>1</v>
      </c>
      <c r="D194" s="88" t="s">
        <v>247</v>
      </c>
      <c r="E194" s="88" t="s">
        <v>244</v>
      </c>
      <c r="F194" s="41" t="s">
        <v>368</v>
      </c>
      <c r="G194" s="89">
        <v>1.0023861693571168</v>
      </c>
      <c r="H194" s="89">
        <v>65.707614804629486</v>
      </c>
      <c r="I194" s="41" t="s">
        <v>286</v>
      </c>
      <c r="J194" s="89"/>
      <c r="K194" s="89"/>
      <c r="L194" s="89"/>
      <c r="M194" s="89"/>
    </row>
    <row r="195" spans="1:13">
      <c r="A195" s="88" t="s">
        <v>340</v>
      </c>
      <c r="B195" s="88" t="s">
        <v>291</v>
      </c>
      <c r="C195" s="88" t="b">
        <v>1</v>
      </c>
      <c r="D195" s="88" t="s">
        <v>236</v>
      </c>
      <c r="E195" s="88" t="s">
        <v>237</v>
      </c>
      <c r="F195" s="41" t="s">
        <v>369</v>
      </c>
      <c r="G195" s="89">
        <v>0.15662181103101308</v>
      </c>
      <c r="H195" s="89">
        <v>257.38445724213665</v>
      </c>
      <c r="I195" s="41" t="s">
        <v>293</v>
      </c>
      <c r="J195" s="89"/>
      <c r="K195" s="89"/>
      <c r="L195" s="89"/>
      <c r="M195" s="89"/>
    </row>
    <row r="196" spans="1:13">
      <c r="A196" s="88" t="s">
        <v>340</v>
      </c>
      <c r="B196" s="88" t="s">
        <v>291</v>
      </c>
      <c r="C196" s="88" t="b">
        <v>0</v>
      </c>
      <c r="D196" s="88" t="s">
        <v>236</v>
      </c>
      <c r="E196" s="88" t="s">
        <v>241</v>
      </c>
      <c r="F196" s="41" t="s">
        <v>370</v>
      </c>
      <c r="G196" s="89">
        <v>0.42682753356948472</v>
      </c>
      <c r="H196" s="89">
        <v>165.41861147006301</v>
      </c>
      <c r="I196" s="41" t="s">
        <v>293</v>
      </c>
      <c r="J196" s="89"/>
      <c r="K196" s="89"/>
      <c r="L196" s="89"/>
      <c r="M196" s="89"/>
    </row>
    <row r="197" spans="1:13">
      <c r="A197" s="88" t="s">
        <v>340</v>
      </c>
      <c r="B197" s="88" t="s">
        <v>291</v>
      </c>
      <c r="C197" s="88" t="b">
        <v>1</v>
      </c>
      <c r="D197" s="88" t="s">
        <v>236</v>
      </c>
      <c r="E197" s="88" t="s">
        <v>241</v>
      </c>
      <c r="F197" s="41" t="s">
        <v>371</v>
      </c>
      <c r="G197" s="89">
        <v>0.39135706650271984</v>
      </c>
      <c r="H197" s="89">
        <v>158.74254749932547</v>
      </c>
      <c r="I197" s="41" t="s">
        <v>293</v>
      </c>
      <c r="J197" s="89"/>
      <c r="K197" s="89"/>
      <c r="L197" s="89"/>
      <c r="M197" s="89"/>
    </row>
    <row r="198" spans="1:13">
      <c r="A198" s="88" t="s">
        <v>340</v>
      </c>
      <c r="B198" s="88" t="s">
        <v>291</v>
      </c>
      <c r="C198" s="88" t="b">
        <v>0</v>
      </c>
      <c r="D198" s="88" t="s">
        <v>236</v>
      </c>
      <c r="E198" s="88" t="s">
        <v>244</v>
      </c>
      <c r="F198" s="41" t="s">
        <v>372</v>
      </c>
      <c r="G198" s="89">
        <v>0.64780216220670017</v>
      </c>
      <c r="H198" s="89">
        <v>156.49013219462029</v>
      </c>
      <c r="I198" s="41" t="s">
        <v>293</v>
      </c>
      <c r="J198" s="89"/>
      <c r="K198" s="89"/>
      <c r="L198" s="89"/>
      <c r="M198" s="89"/>
    </row>
    <row r="199" spans="1:13">
      <c r="A199" s="88" t="s">
        <v>340</v>
      </c>
      <c r="B199" s="88" t="s">
        <v>291</v>
      </c>
      <c r="C199" s="88" t="b">
        <v>1</v>
      </c>
      <c r="D199" s="88" t="s">
        <v>236</v>
      </c>
      <c r="E199" s="88" t="s">
        <v>244</v>
      </c>
      <c r="F199" s="41" t="s">
        <v>373</v>
      </c>
      <c r="G199" s="89">
        <v>0.59913707974051456</v>
      </c>
      <c r="H199" s="89">
        <v>146.4324361449878</v>
      </c>
      <c r="I199" s="41" t="s">
        <v>293</v>
      </c>
      <c r="J199" s="89"/>
      <c r="K199" s="89"/>
      <c r="L199" s="89"/>
      <c r="M199" s="89"/>
    </row>
    <row r="200" spans="1:13">
      <c r="A200" s="88" t="s">
        <v>340</v>
      </c>
      <c r="B200" s="88" t="s">
        <v>291</v>
      </c>
      <c r="C200" s="88" t="b">
        <v>1</v>
      </c>
      <c r="D200" s="88" t="s">
        <v>247</v>
      </c>
      <c r="E200" s="88" t="s">
        <v>244</v>
      </c>
      <c r="F200" s="41" t="s">
        <v>374</v>
      </c>
      <c r="G200" s="89">
        <v>1.0610163917614077</v>
      </c>
      <c r="H200" s="89">
        <v>157.05740292472214</v>
      </c>
      <c r="I200" s="41" t="s">
        <v>298</v>
      </c>
      <c r="J200" s="89"/>
      <c r="K200" s="89"/>
      <c r="L200" s="89"/>
      <c r="M200" s="89"/>
    </row>
    <row r="201" spans="1:13">
      <c r="A201" s="88" t="s">
        <v>340</v>
      </c>
      <c r="B201" s="88" t="s">
        <v>303</v>
      </c>
      <c r="C201" s="88" t="b">
        <v>1</v>
      </c>
      <c r="D201" s="88" t="s">
        <v>236</v>
      </c>
      <c r="E201" s="88" t="s">
        <v>241</v>
      </c>
      <c r="F201" s="41" t="s">
        <v>375</v>
      </c>
      <c r="G201" s="89">
        <v>0.27326259150906779</v>
      </c>
      <c r="H201" s="89">
        <v>22.717327145982239</v>
      </c>
      <c r="I201" s="41" t="s">
        <v>305</v>
      </c>
      <c r="J201" s="89"/>
      <c r="K201" s="89"/>
      <c r="L201" s="89"/>
      <c r="M201" s="89"/>
    </row>
    <row r="202" spans="1:13">
      <c r="A202" s="88" t="s">
        <v>340</v>
      </c>
      <c r="B202" s="88" t="s">
        <v>303</v>
      </c>
      <c r="C202" s="88" t="b">
        <v>0</v>
      </c>
      <c r="D202" s="88" t="s">
        <v>236</v>
      </c>
      <c r="E202" s="88" t="s">
        <v>244</v>
      </c>
      <c r="F202" s="41" t="s">
        <v>376</v>
      </c>
      <c r="G202" s="89">
        <v>0.85284908502272572</v>
      </c>
      <c r="H202" s="89">
        <v>18.643316058823313</v>
      </c>
      <c r="I202" s="41" t="s">
        <v>305</v>
      </c>
      <c r="J202" s="89"/>
      <c r="K202" s="89"/>
      <c r="L202" s="89"/>
      <c r="M202" s="89"/>
    </row>
    <row r="203" spans="1:13">
      <c r="A203" s="88" t="s">
        <v>340</v>
      </c>
      <c r="B203" s="88" t="s">
        <v>303</v>
      </c>
      <c r="C203" s="88" t="b">
        <v>1</v>
      </c>
      <c r="D203" s="88" t="s">
        <v>236</v>
      </c>
      <c r="E203" s="88" t="s">
        <v>244</v>
      </c>
      <c r="F203" s="41" t="s">
        <v>377</v>
      </c>
      <c r="G203" s="89">
        <v>0.8285673233227</v>
      </c>
      <c r="H203" s="89">
        <v>18.31041573516962</v>
      </c>
      <c r="I203" s="41" t="s">
        <v>305</v>
      </c>
      <c r="J203" s="89"/>
      <c r="K203" s="89"/>
      <c r="L203" s="89"/>
      <c r="M203" s="89"/>
    </row>
    <row r="204" spans="1:13">
      <c r="A204" s="88" t="s">
        <v>340</v>
      </c>
      <c r="B204" s="88" t="s">
        <v>314</v>
      </c>
      <c r="C204" s="88" t="b">
        <v>1</v>
      </c>
      <c r="D204" s="88" t="s">
        <v>236</v>
      </c>
      <c r="E204" s="88" t="s">
        <v>237</v>
      </c>
      <c r="F204" s="41" t="s">
        <v>378</v>
      </c>
      <c r="G204" s="89">
        <v>8.8562506800273291E-2</v>
      </c>
      <c r="H204" s="89">
        <v>16.524143460304707</v>
      </c>
      <c r="I204" s="41" t="s">
        <v>316</v>
      </c>
      <c r="J204" s="89"/>
      <c r="K204" s="89"/>
      <c r="L204" s="89"/>
      <c r="M204" s="89"/>
    </row>
    <row r="205" spans="1:13">
      <c r="A205" s="88" t="s">
        <v>340</v>
      </c>
      <c r="B205" s="88" t="s">
        <v>314</v>
      </c>
      <c r="C205" s="88" t="b">
        <v>0</v>
      </c>
      <c r="D205" s="88" t="s">
        <v>236</v>
      </c>
      <c r="E205" s="88" t="s">
        <v>241</v>
      </c>
      <c r="F205" s="41" t="s">
        <v>379</v>
      </c>
      <c r="G205" s="89">
        <v>0.14533984791376389</v>
      </c>
      <c r="H205" s="89">
        <v>11.321994045701242</v>
      </c>
      <c r="I205" s="41" t="s">
        <v>316</v>
      </c>
      <c r="J205" s="89"/>
      <c r="K205" s="89"/>
      <c r="L205" s="89"/>
      <c r="M205" s="89"/>
    </row>
    <row r="206" spans="1:13">
      <c r="A206" s="88" t="s">
        <v>340</v>
      </c>
      <c r="B206" s="88" t="s">
        <v>314</v>
      </c>
      <c r="C206" s="88" t="b">
        <v>1</v>
      </c>
      <c r="D206" s="88" t="s">
        <v>236</v>
      </c>
      <c r="E206" s="88" t="s">
        <v>241</v>
      </c>
      <c r="F206" s="41" t="s">
        <v>380</v>
      </c>
      <c r="G206" s="89">
        <v>0.14533951558777081</v>
      </c>
      <c r="H206" s="89">
        <v>11.242506959001089</v>
      </c>
      <c r="I206" s="41" t="s">
        <v>316</v>
      </c>
      <c r="J206" s="89"/>
      <c r="K206" s="89"/>
      <c r="L206" s="89"/>
      <c r="M206" s="89"/>
    </row>
    <row r="207" spans="1:13">
      <c r="A207" s="88" t="s">
        <v>340</v>
      </c>
      <c r="B207" s="88" t="s">
        <v>314</v>
      </c>
      <c r="C207" s="88" t="b">
        <v>0</v>
      </c>
      <c r="D207" s="88" t="s">
        <v>236</v>
      </c>
      <c r="E207" s="88" t="s">
        <v>244</v>
      </c>
      <c r="F207" s="41" t="s">
        <v>381</v>
      </c>
      <c r="G207" s="89">
        <v>0.51144404699238089</v>
      </c>
      <c r="H207" s="89">
        <v>9.8738871313107541</v>
      </c>
      <c r="I207" s="41" t="s">
        <v>316</v>
      </c>
      <c r="J207" s="89"/>
      <c r="K207" s="89"/>
      <c r="L207" s="89"/>
      <c r="M207" s="89"/>
    </row>
    <row r="208" spans="1:13">
      <c r="A208" s="88" t="s">
        <v>340</v>
      </c>
      <c r="B208" s="88" t="s">
        <v>314</v>
      </c>
      <c r="C208" s="88" t="b">
        <v>1</v>
      </c>
      <c r="D208" s="88" t="s">
        <v>236</v>
      </c>
      <c r="E208" s="88" t="s">
        <v>244</v>
      </c>
      <c r="F208" s="41" t="s">
        <v>382</v>
      </c>
      <c r="G208" s="89">
        <v>0.51141142422508912</v>
      </c>
      <c r="H208" s="89">
        <v>9.845792256727707</v>
      </c>
      <c r="I208" s="41" t="s">
        <v>316</v>
      </c>
      <c r="J208" s="89"/>
      <c r="K208" s="89"/>
      <c r="L208" s="89"/>
      <c r="M208" s="89"/>
    </row>
    <row r="209" spans="1:13">
      <c r="A209" s="88" t="s">
        <v>340</v>
      </c>
      <c r="B209" s="88" t="s">
        <v>314</v>
      </c>
      <c r="C209" s="88" t="b">
        <v>1</v>
      </c>
      <c r="D209" s="88" t="s">
        <v>247</v>
      </c>
      <c r="E209" s="88" t="s">
        <v>241</v>
      </c>
      <c r="F209" s="41" t="s">
        <v>383</v>
      </c>
      <c r="G209" s="89">
        <v>0.2589307421421943</v>
      </c>
      <c r="H209" s="89">
        <v>17.622767367390828</v>
      </c>
      <c r="I209" s="41" t="s">
        <v>322</v>
      </c>
      <c r="J209" s="89"/>
      <c r="K209" s="89"/>
      <c r="L209" s="89"/>
      <c r="M209" s="89"/>
    </row>
    <row r="210" spans="1:13">
      <c r="A210" s="88" t="s">
        <v>340</v>
      </c>
      <c r="B210" s="88" t="s">
        <v>314</v>
      </c>
      <c r="C210" s="88" t="b">
        <v>1</v>
      </c>
      <c r="D210" s="88" t="s">
        <v>247</v>
      </c>
      <c r="E210" s="88" t="s">
        <v>244</v>
      </c>
      <c r="F210" s="41" t="s">
        <v>384</v>
      </c>
      <c r="G210" s="89">
        <v>0.80230924113098712</v>
      </c>
      <c r="H210" s="89">
        <v>11.909657403584529</v>
      </c>
      <c r="I210" s="41" t="s">
        <v>322</v>
      </c>
      <c r="J210" s="89"/>
      <c r="K210" s="89"/>
      <c r="L210" s="89"/>
      <c r="M210" s="89"/>
    </row>
    <row r="211" spans="1:13">
      <c r="A211" s="88" t="s">
        <v>340</v>
      </c>
      <c r="B211" s="88" t="s">
        <v>327</v>
      </c>
      <c r="C211" s="88" t="b">
        <v>1</v>
      </c>
      <c r="D211" s="88" t="s">
        <v>236</v>
      </c>
      <c r="E211" s="88" t="s">
        <v>237</v>
      </c>
      <c r="F211" s="41" t="s">
        <v>385</v>
      </c>
      <c r="G211" s="89">
        <v>7.2753716346414671E-2</v>
      </c>
      <c r="H211" s="89">
        <v>30.564771145632243</v>
      </c>
      <c r="I211" s="41" t="s">
        <v>329</v>
      </c>
      <c r="J211" s="89"/>
      <c r="K211" s="89"/>
      <c r="L211" s="89"/>
      <c r="M211" s="89"/>
    </row>
    <row r="212" spans="1:13">
      <c r="A212" s="88" t="s">
        <v>340</v>
      </c>
      <c r="B212" s="88" t="s">
        <v>327</v>
      </c>
      <c r="C212" s="88" t="b">
        <v>0</v>
      </c>
      <c r="D212" s="88" t="s">
        <v>236</v>
      </c>
      <c r="E212" s="88" t="s">
        <v>241</v>
      </c>
      <c r="F212" s="41" t="s">
        <v>386</v>
      </c>
      <c r="G212" s="89">
        <v>0.29688275013883947</v>
      </c>
      <c r="H212" s="89">
        <v>21.205384211799544</v>
      </c>
      <c r="I212" s="41" t="s">
        <v>329</v>
      </c>
      <c r="J212" s="89"/>
      <c r="K212" s="89"/>
      <c r="L212" s="89"/>
      <c r="M212" s="89"/>
    </row>
    <row r="213" spans="1:13">
      <c r="A213" s="88" t="s">
        <v>340</v>
      </c>
      <c r="B213" s="88" t="s">
        <v>327</v>
      </c>
      <c r="C213" s="88" t="b">
        <v>1</v>
      </c>
      <c r="D213" s="88" t="s">
        <v>236</v>
      </c>
      <c r="E213" s="88" t="s">
        <v>241</v>
      </c>
      <c r="F213" s="41" t="s">
        <v>387</v>
      </c>
      <c r="G213" s="89">
        <v>0.29439714024280206</v>
      </c>
      <c r="H213" s="89">
        <v>20.94356555995348</v>
      </c>
      <c r="I213" s="41" t="s">
        <v>329</v>
      </c>
      <c r="J213" s="89"/>
      <c r="K213" s="89"/>
      <c r="L213" s="89"/>
      <c r="M213" s="89"/>
    </row>
    <row r="214" spans="1:13">
      <c r="A214" s="88" t="s">
        <v>340</v>
      </c>
      <c r="B214" s="88" t="s">
        <v>327</v>
      </c>
      <c r="C214" s="88" t="b">
        <v>0</v>
      </c>
      <c r="D214" s="88" t="s">
        <v>236</v>
      </c>
      <c r="E214" s="88" t="s">
        <v>244</v>
      </c>
      <c r="F214" s="41" t="s">
        <v>388</v>
      </c>
      <c r="G214" s="89">
        <v>0.59336021952959139</v>
      </c>
      <c r="H214" s="89">
        <v>21.190430121696743</v>
      </c>
      <c r="I214" s="41" t="s">
        <v>329</v>
      </c>
      <c r="J214" s="89"/>
      <c r="K214" s="89"/>
      <c r="L214" s="89"/>
      <c r="M214" s="89"/>
    </row>
    <row r="215" spans="1:13">
      <c r="A215" s="88" t="s">
        <v>340</v>
      </c>
      <c r="B215" s="88" t="s">
        <v>327</v>
      </c>
      <c r="C215" s="88" t="b">
        <v>1</v>
      </c>
      <c r="D215" s="88" t="s">
        <v>236</v>
      </c>
      <c r="E215" s="88" t="s">
        <v>244</v>
      </c>
      <c r="F215" s="41" t="s">
        <v>389</v>
      </c>
      <c r="G215" s="89">
        <v>0.58867231084784688</v>
      </c>
      <c r="H215" s="89">
        <v>20.841079539881765</v>
      </c>
      <c r="I215" s="41" t="s">
        <v>329</v>
      </c>
      <c r="J215" s="89"/>
      <c r="K215" s="89"/>
      <c r="L215" s="89"/>
      <c r="M215" s="89"/>
    </row>
    <row r="216" spans="1:13">
      <c r="A216" s="88" t="s">
        <v>340</v>
      </c>
      <c r="B216" s="88" t="s">
        <v>327</v>
      </c>
      <c r="C216" s="88" t="b">
        <v>1</v>
      </c>
      <c r="D216" s="88" t="s">
        <v>247</v>
      </c>
      <c r="E216" s="88" t="s">
        <v>241</v>
      </c>
      <c r="F216" s="41" t="s">
        <v>390</v>
      </c>
      <c r="G216" s="89">
        <v>0.61286541741982492</v>
      </c>
      <c r="H216" s="89">
        <v>27.247544874073792</v>
      </c>
      <c r="I216" s="41" t="s">
        <v>335</v>
      </c>
      <c r="J216" s="89"/>
      <c r="K216" s="89"/>
      <c r="L216" s="89"/>
      <c r="M216" s="89"/>
    </row>
    <row r="217" spans="1:13">
      <c r="A217" s="88" t="s">
        <v>391</v>
      </c>
      <c r="B217" s="88" t="s">
        <v>235</v>
      </c>
      <c r="C217" s="88" t="b">
        <v>0</v>
      </c>
      <c r="D217" s="88" t="s">
        <v>236</v>
      </c>
      <c r="E217" s="88" t="s">
        <v>237</v>
      </c>
      <c r="F217" s="41" t="s">
        <v>392</v>
      </c>
      <c r="G217" s="89">
        <v>6.1442937587990375E-2</v>
      </c>
      <c r="H217" s="89">
        <v>25.826176420282241</v>
      </c>
      <c r="I217" s="41" t="s">
        <v>239</v>
      </c>
      <c r="J217" s="89"/>
      <c r="K217" s="89"/>
      <c r="L217" s="89"/>
      <c r="M217" s="89"/>
    </row>
    <row r="218" spans="1:13">
      <c r="A218" s="88" t="s">
        <v>391</v>
      </c>
      <c r="B218" s="88" t="s">
        <v>235</v>
      </c>
      <c r="C218" s="88" t="b">
        <v>1</v>
      </c>
      <c r="D218" s="88" t="s">
        <v>236</v>
      </c>
      <c r="E218" s="88" t="s">
        <v>237</v>
      </c>
      <c r="F218" s="41" t="s">
        <v>393</v>
      </c>
      <c r="G218" s="89">
        <v>6.1424987663969768E-2</v>
      </c>
      <c r="H218" s="89">
        <v>25.751813639298121</v>
      </c>
      <c r="I218" s="41" t="s">
        <v>239</v>
      </c>
      <c r="J218" s="89"/>
      <c r="K218" s="89"/>
      <c r="L218" s="89"/>
      <c r="M218" s="89"/>
    </row>
    <row r="219" spans="1:13">
      <c r="A219" s="88" t="s">
        <v>391</v>
      </c>
      <c r="B219" s="88" t="s">
        <v>235</v>
      </c>
      <c r="C219" s="88" t="b">
        <v>0</v>
      </c>
      <c r="D219" s="88" t="s">
        <v>236</v>
      </c>
      <c r="E219" s="88" t="s">
        <v>241</v>
      </c>
      <c r="F219" s="41" t="s">
        <v>394</v>
      </c>
      <c r="G219" s="89">
        <v>0.36025183175115832</v>
      </c>
      <c r="H219" s="89">
        <v>18.754590879044081</v>
      </c>
      <c r="I219" s="41" t="s">
        <v>239</v>
      </c>
      <c r="J219" s="89"/>
      <c r="K219" s="89"/>
      <c r="L219" s="89"/>
      <c r="M219" s="89"/>
    </row>
    <row r="220" spans="1:13">
      <c r="A220" s="88" t="s">
        <v>391</v>
      </c>
      <c r="B220" s="88" t="s">
        <v>235</v>
      </c>
      <c r="C220" s="88" t="b">
        <v>1</v>
      </c>
      <c r="D220" s="88" t="s">
        <v>236</v>
      </c>
      <c r="E220" s="88" t="s">
        <v>241</v>
      </c>
      <c r="F220" s="41" t="s">
        <v>395</v>
      </c>
      <c r="G220" s="89">
        <v>0.36011411895368173</v>
      </c>
      <c r="H220" s="89">
        <v>18.698866083694561</v>
      </c>
      <c r="I220" s="41" t="s">
        <v>239</v>
      </c>
      <c r="J220" s="89"/>
      <c r="K220" s="89"/>
      <c r="L220" s="89"/>
      <c r="M220" s="89"/>
    </row>
    <row r="221" spans="1:13">
      <c r="A221" s="88" t="s">
        <v>391</v>
      </c>
      <c r="B221" s="88" t="s">
        <v>235</v>
      </c>
      <c r="C221" s="88" t="b">
        <v>1</v>
      </c>
      <c r="D221" s="88" t="s">
        <v>247</v>
      </c>
      <c r="E221" s="88" t="s">
        <v>237</v>
      </c>
      <c r="F221" s="41" t="s">
        <v>396</v>
      </c>
      <c r="G221" s="89">
        <v>0.17853754389244084</v>
      </c>
      <c r="H221" s="89">
        <v>30.703904042652844</v>
      </c>
      <c r="I221" s="41" t="s">
        <v>249</v>
      </c>
      <c r="J221" s="89"/>
      <c r="K221" s="89"/>
      <c r="L221" s="89"/>
      <c r="M221" s="89"/>
    </row>
    <row r="222" spans="1:13">
      <c r="A222" s="88" t="s">
        <v>391</v>
      </c>
      <c r="B222" s="88" t="s">
        <v>235</v>
      </c>
      <c r="C222" s="88" t="b">
        <v>1</v>
      </c>
      <c r="D222" s="88" t="s">
        <v>247</v>
      </c>
      <c r="E222" s="88" t="s">
        <v>241</v>
      </c>
      <c r="F222" s="41" t="s">
        <v>397</v>
      </c>
      <c r="G222" s="89">
        <v>0.77313233413857907</v>
      </c>
      <c r="H222" s="89">
        <v>23.29477891996973</v>
      </c>
      <c r="I222" s="41" t="s">
        <v>249</v>
      </c>
      <c r="J222" s="89"/>
      <c r="K222" s="89"/>
      <c r="L222" s="89"/>
      <c r="M222" s="89"/>
    </row>
    <row r="223" spans="1:13">
      <c r="A223" s="88" t="s">
        <v>391</v>
      </c>
      <c r="B223" s="88" t="s">
        <v>235</v>
      </c>
      <c r="C223" s="88" t="b">
        <v>1</v>
      </c>
      <c r="D223" s="88" t="s">
        <v>247</v>
      </c>
      <c r="E223" s="88" t="s">
        <v>244</v>
      </c>
      <c r="F223" s="41" t="s">
        <v>398</v>
      </c>
      <c r="G223" s="89">
        <v>1.0422058716407914</v>
      </c>
      <c r="H223" s="89">
        <v>21.566312781466351</v>
      </c>
      <c r="I223" s="41" t="s">
        <v>249</v>
      </c>
      <c r="J223" s="89"/>
      <c r="K223" s="89"/>
      <c r="L223" s="89"/>
      <c r="M223" s="89"/>
    </row>
    <row r="224" spans="1:13">
      <c r="A224" s="88" t="s">
        <v>391</v>
      </c>
      <c r="B224" s="88" t="s">
        <v>235</v>
      </c>
      <c r="C224" s="88" t="b">
        <v>1</v>
      </c>
      <c r="D224" s="88" t="s">
        <v>399</v>
      </c>
      <c r="E224" s="88" t="s">
        <v>237</v>
      </c>
      <c r="F224" s="41" t="s">
        <v>400</v>
      </c>
      <c r="G224" s="89">
        <v>0.88624047799891326</v>
      </c>
      <c r="H224" s="89">
        <v>34.138059616848523</v>
      </c>
      <c r="I224" s="41" t="s">
        <v>401</v>
      </c>
      <c r="J224" s="89">
        <v>1.4234604854419282</v>
      </c>
      <c r="K224" s="89">
        <v>57.510527083908016</v>
      </c>
      <c r="L224" s="89"/>
      <c r="M224" s="89"/>
    </row>
    <row r="225" spans="1:13">
      <c r="A225" s="88" t="s">
        <v>391</v>
      </c>
      <c r="B225" s="88" t="s">
        <v>255</v>
      </c>
      <c r="C225" s="88" t="b">
        <v>0</v>
      </c>
      <c r="D225" s="88" t="s">
        <v>236</v>
      </c>
      <c r="E225" s="88" t="s">
        <v>237</v>
      </c>
      <c r="F225" s="41" t="s">
        <v>402</v>
      </c>
      <c r="G225" s="89">
        <v>5.4131317530677875E-2</v>
      </c>
      <c r="H225" s="89">
        <v>27.800501004141072</v>
      </c>
      <c r="I225" s="41" t="s">
        <v>257</v>
      </c>
      <c r="J225" s="89"/>
      <c r="K225" s="89"/>
      <c r="L225" s="89"/>
      <c r="M225" s="89"/>
    </row>
    <row r="226" spans="1:13">
      <c r="A226" s="88" t="s">
        <v>391</v>
      </c>
      <c r="B226" s="88" t="s">
        <v>255</v>
      </c>
      <c r="C226" s="88" t="b">
        <v>1</v>
      </c>
      <c r="D226" s="88" t="s">
        <v>236</v>
      </c>
      <c r="E226" s="88" t="s">
        <v>237</v>
      </c>
      <c r="F226" s="41" t="s">
        <v>403</v>
      </c>
      <c r="G226" s="89">
        <v>5.4131317530677875E-2</v>
      </c>
      <c r="H226" s="89">
        <v>27.729664627031806</v>
      </c>
      <c r="I226" s="41" t="s">
        <v>257</v>
      </c>
      <c r="J226" s="89"/>
      <c r="K226" s="89"/>
      <c r="L226" s="89"/>
      <c r="M226" s="89"/>
    </row>
    <row r="227" spans="1:13">
      <c r="A227" s="88" t="s">
        <v>391</v>
      </c>
      <c r="B227" s="88" t="s">
        <v>255</v>
      </c>
      <c r="C227" s="88" t="b">
        <v>0</v>
      </c>
      <c r="D227" s="88" t="s">
        <v>236</v>
      </c>
      <c r="E227" s="88" t="s">
        <v>241</v>
      </c>
      <c r="F227" s="41" t="s">
        <v>404</v>
      </c>
      <c r="G227" s="89">
        <v>0.31560024313398488</v>
      </c>
      <c r="H227" s="89">
        <v>19.401858611704689</v>
      </c>
      <c r="I227" s="41" t="s">
        <v>257</v>
      </c>
      <c r="J227" s="89"/>
      <c r="K227" s="89"/>
      <c r="L227" s="89"/>
      <c r="M227" s="89"/>
    </row>
    <row r="228" spans="1:13">
      <c r="A228" s="88" t="s">
        <v>391</v>
      </c>
      <c r="B228" s="88" t="s">
        <v>255</v>
      </c>
      <c r="C228" s="88" t="b">
        <v>1</v>
      </c>
      <c r="D228" s="88" t="s">
        <v>236</v>
      </c>
      <c r="E228" s="88" t="s">
        <v>241</v>
      </c>
      <c r="F228" s="41" t="s">
        <v>405</v>
      </c>
      <c r="G228" s="89">
        <v>0.31560024313398488</v>
      </c>
      <c r="H228" s="89">
        <v>19.356170310205616</v>
      </c>
      <c r="I228" s="41" t="s">
        <v>257</v>
      </c>
      <c r="J228" s="89"/>
      <c r="K228" s="89"/>
      <c r="L228" s="89"/>
      <c r="M228" s="89"/>
    </row>
    <row r="229" spans="1:13">
      <c r="A229" s="88" t="s">
        <v>391</v>
      </c>
      <c r="B229" s="88" t="s">
        <v>255</v>
      </c>
      <c r="C229" s="88" t="b">
        <v>1</v>
      </c>
      <c r="D229" s="88" t="s">
        <v>247</v>
      </c>
      <c r="E229" s="88" t="s">
        <v>237</v>
      </c>
      <c r="F229" s="41" t="s">
        <v>406</v>
      </c>
      <c r="G229" s="89">
        <v>0.15396129777683171</v>
      </c>
      <c r="H229" s="89">
        <v>32.896634728373535</v>
      </c>
      <c r="I229" s="41" t="s">
        <v>263</v>
      </c>
      <c r="J229" s="89"/>
      <c r="K229" s="89"/>
      <c r="L229" s="89"/>
      <c r="M229" s="89"/>
    </row>
    <row r="230" spans="1:13">
      <c r="A230" s="88" t="s">
        <v>391</v>
      </c>
      <c r="B230" s="88" t="s">
        <v>255</v>
      </c>
      <c r="C230" s="88" t="b">
        <v>1</v>
      </c>
      <c r="D230" s="88" t="s">
        <v>247</v>
      </c>
      <c r="E230" s="88" t="s">
        <v>241</v>
      </c>
      <c r="F230" s="41" t="s">
        <v>407</v>
      </c>
      <c r="G230" s="89">
        <v>0.65196339349205124</v>
      </c>
      <c r="H230" s="89">
        <v>23.828122798512187</v>
      </c>
      <c r="I230" s="41" t="s">
        <v>263</v>
      </c>
      <c r="J230" s="89"/>
      <c r="K230" s="89"/>
      <c r="L230" s="89"/>
      <c r="M230" s="89"/>
    </row>
    <row r="231" spans="1:13">
      <c r="A231" s="88" t="s">
        <v>391</v>
      </c>
      <c r="B231" s="88" t="s">
        <v>255</v>
      </c>
      <c r="C231" s="88" t="b">
        <v>1</v>
      </c>
      <c r="D231" s="88" t="s">
        <v>247</v>
      </c>
      <c r="E231" s="88" t="s">
        <v>244</v>
      </c>
      <c r="F231" s="41" t="s">
        <v>408</v>
      </c>
      <c r="G231" s="89">
        <v>0.90597636255834724</v>
      </c>
      <c r="H231" s="89">
        <v>21.378218054026917</v>
      </c>
      <c r="I231" s="41" t="s">
        <v>263</v>
      </c>
      <c r="J231" s="89"/>
      <c r="K231" s="89"/>
      <c r="L231" s="89"/>
      <c r="M231" s="89"/>
    </row>
    <row r="232" spans="1:13">
      <c r="A232" s="88" t="s">
        <v>391</v>
      </c>
      <c r="B232" s="88" t="s">
        <v>255</v>
      </c>
      <c r="C232" s="88" t="b">
        <v>1</v>
      </c>
      <c r="D232" s="88" t="s">
        <v>399</v>
      </c>
      <c r="E232" s="88" t="s">
        <v>237</v>
      </c>
      <c r="F232" s="41" t="s">
        <v>409</v>
      </c>
      <c r="G232" s="89">
        <v>0.78061191401139507</v>
      </c>
      <c r="H232" s="89">
        <v>36.162918098623678</v>
      </c>
      <c r="I232" s="41" t="s">
        <v>410</v>
      </c>
      <c r="J232" s="89">
        <v>0.86141816340259647</v>
      </c>
      <c r="K232" s="89">
        <v>39.099070155719133</v>
      </c>
      <c r="L232" s="89"/>
      <c r="M232" s="89"/>
    </row>
    <row r="233" spans="1:13">
      <c r="A233" s="88" t="s">
        <v>391</v>
      </c>
      <c r="B233" s="88" t="s">
        <v>269</v>
      </c>
      <c r="C233" s="88" t="b">
        <v>0</v>
      </c>
      <c r="D233" s="88" t="s">
        <v>236</v>
      </c>
      <c r="E233" s="88" t="s">
        <v>237</v>
      </c>
      <c r="F233" s="41" t="s">
        <v>411</v>
      </c>
      <c r="G233" s="89">
        <v>5.3523986734326817E-2</v>
      </c>
      <c r="H233" s="89">
        <v>22.686981586661744</v>
      </c>
      <c r="I233" s="41" t="s">
        <v>271</v>
      </c>
      <c r="J233" s="89"/>
      <c r="K233" s="89"/>
      <c r="L233" s="89"/>
      <c r="M233" s="89"/>
    </row>
    <row r="234" spans="1:13">
      <c r="A234" s="88" t="s">
        <v>391</v>
      </c>
      <c r="B234" s="88" t="s">
        <v>269</v>
      </c>
      <c r="C234" s="88" t="b">
        <v>1</v>
      </c>
      <c r="D234" s="88" t="s">
        <v>236</v>
      </c>
      <c r="E234" s="88" t="s">
        <v>237</v>
      </c>
      <c r="F234" s="41" t="s">
        <v>412</v>
      </c>
      <c r="G234" s="89">
        <v>5.3523986734326817E-2</v>
      </c>
      <c r="H234" s="89">
        <v>22.632464892440566</v>
      </c>
      <c r="I234" s="41" t="s">
        <v>271</v>
      </c>
      <c r="J234" s="89"/>
      <c r="K234" s="89"/>
      <c r="L234" s="89"/>
      <c r="M234" s="89"/>
    </row>
    <row r="235" spans="1:13">
      <c r="A235" s="88" t="s">
        <v>391</v>
      </c>
      <c r="B235" s="88" t="s">
        <v>269</v>
      </c>
      <c r="C235" s="88" t="b">
        <v>0</v>
      </c>
      <c r="D235" s="88" t="s">
        <v>236</v>
      </c>
      <c r="E235" s="88" t="s">
        <v>241</v>
      </c>
      <c r="F235" s="41" t="s">
        <v>413</v>
      </c>
      <c r="G235" s="89">
        <v>0.33225753589562024</v>
      </c>
      <c r="H235" s="89">
        <v>15.815207013355449</v>
      </c>
      <c r="I235" s="41" t="s">
        <v>271</v>
      </c>
      <c r="J235" s="89"/>
      <c r="K235" s="89"/>
      <c r="L235" s="89"/>
      <c r="M235" s="89"/>
    </row>
    <row r="236" spans="1:13">
      <c r="A236" s="88" t="s">
        <v>391</v>
      </c>
      <c r="B236" s="88" t="s">
        <v>269</v>
      </c>
      <c r="C236" s="88" t="b">
        <v>1</v>
      </c>
      <c r="D236" s="88" t="s">
        <v>236</v>
      </c>
      <c r="E236" s="88" t="s">
        <v>241</v>
      </c>
      <c r="F236" s="41" t="s">
        <v>414</v>
      </c>
      <c r="G236" s="89">
        <v>0.33225753589562024</v>
      </c>
      <c r="H236" s="89">
        <v>15.780151182268028</v>
      </c>
      <c r="I236" s="41" t="s">
        <v>271</v>
      </c>
      <c r="J236" s="89"/>
      <c r="K236" s="89"/>
      <c r="L236" s="89"/>
      <c r="M236" s="89"/>
    </row>
    <row r="237" spans="1:13">
      <c r="A237" s="88" t="s">
        <v>391</v>
      </c>
      <c r="B237" s="88" t="s">
        <v>269</v>
      </c>
      <c r="C237" s="88" t="b">
        <v>1</v>
      </c>
      <c r="D237" s="88" t="s">
        <v>247</v>
      </c>
      <c r="E237" s="88" t="s">
        <v>237</v>
      </c>
      <c r="F237" s="41" t="s">
        <v>415</v>
      </c>
      <c r="G237" s="89">
        <v>0.15706718546301093</v>
      </c>
      <c r="H237" s="89">
        <v>26.786009103132169</v>
      </c>
      <c r="I237" s="41" t="s">
        <v>275</v>
      </c>
      <c r="J237" s="89"/>
      <c r="K237" s="89"/>
      <c r="L237" s="89"/>
      <c r="M237" s="89"/>
    </row>
    <row r="238" spans="1:13">
      <c r="A238" s="88" t="s">
        <v>391</v>
      </c>
      <c r="B238" s="88" t="s">
        <v>269</v>
      </c>
      <c r="C238" s="88" t="b">
        <v>1</v>
      </c>
      <c r="D238" s="88" t="s">
        <v>247</v>
      </c>
      <c r="E238" s="88" t="s">
        <v>244</v>
      </c>
      <c r="F238" s="41" t="s">
        <v>416</v>
      </c>
      <c r="G238" s="89">
        <v>0.9573711612216298</v>
      </c>
      <c r="H238" s="89">
        <v>17.343765333592803</v>
      </c>
      <c r="I238" s="41" t="s">
        <v>275</v>
      </c>
      <c r="J238" s="89"/>
      <c r="K238" s="89"/>
      <c r="L238" s="89"/>
      <c r="M238" s="89"/>
    </row>
    <row r="239" spans="1:13">
      <c r="A239" s="88" t="s">
        <v>391</v>
      </c>
      <c r="B239" s="88" t="s">
        <v>278</v>
      </c>
      <c r="C239" s="88" t="b">
        <v>0</v>
      </c>
      <c r="D239" s="88" t="s">
        <v>236</v>
      </c>
      <c r="E239" s="88" t="s">
        <v>237</v>
      </c>
      <c r="F239" s="41" t="s">
        <v>417</v>
      </c>
      <c r="G239" s="89">
        <v>8.3065712484390347E-2</v>
      </c>
      <c r="H239" s="89">
        <v>89.510149549415601</v>
      </c>
      <c r="I239" s="41" t="s">
        <v>280</v>
      </c>
      <c r="J239" s="89"/>
      <c r="K239" s="89"/>
      <c r="L239" s="89"/>
      <c r="M239" s="89"/>
    </row>
    <row r="240" spans="1:13">
      <c r="A240" s="88" t="s">
        <v>391</v>
      </c>
      <c r="B240" s="88" t="s">
        <v>278</v>
      </c>
      <c r="C240" s="88" t="b">
        <v>1</v>
      </c>
      <c r="D240" s="88" t="s">
        <v>236</v>
      </c>
      <c r="E240" s="88" t="s">
        <v>237</v>
      </c>
      <c r="F240" s="41" t="s">
        <v>418</v>
      </c>
      <c r="G240" s="89">
        <v>7.9782292938032212E-2</v>
      </c>
      <c r="H240" s="89">
        <v>89.801448606976976</v>
      </c>
      <c r="I240" s="41" t="s">
        <v>280</v>
      </c>
      <c r="J240" s="89"/>
      <c r="K240" s="89"/>
      <c r="L240" s="89"/>
      <c r="M240" s="89"/>
    </row>
    <row r="241" spans="1:13">
      <c r="A241" s="88" t="s">
        <v>391</v>
      </c>
      <c r="B241" s="88" t="s">
        <v>278</v>
      </c>
      <c r="C241" s="88" t="b">
        <v>1</v>
      </c>
      <c r="D241" s="88" t="s">
        <v>236</v>
      </c>
      <c r="E241" s="88" t="s">
        <v>241</v>
      </c>
      <c r="F241" s="41" t="s">
        <v>419</v>
      </c>
      <c r="G241" s="89">
        <v>0.37607963013848933</v>
      </c>
      <c r="H241" s="89">
        <v>57.337215111942385</v>
      </c>
      <c r="I241" s="41" t="s">
        <v>280</v>
      </c>
      <c r="J241" s="89"/>
      <c r="K241" s="89"/>
      <c r="L241" s="89"/>
      <c r="M241" s="89"/>
    </row>
    <row r="242" spans="1:13">
      <c r="A242" s="88" t="s">
        <v>391</v>
      </c>
      <c r="B242" s="88" t="s">
        <v>278</v>
      </c>
      <c r="C242" s="88" t="b">
        <v>1</v>
      </c>
      <c r="D242" s="88" t="s">
        <v>247</v>
      </c>
      <c r="E242" s="88" t="s">
        <v>237</v>
      </c>
      <c r="F242" s="41" t="s">
        <v>420</v>
      </c>
      <c r="G242" s="89">
        <v>0.20889997989632175</v>
      </c>
      <c r="H242" s="89">
        <v>105.49283940079435</v>
      </c>
      <c r="I242" s="41" t="s">
        <v>286</v>
      </c>
      <c r="J242" s="89"/>
      <c r="K242" s="89"/>
      <c r="L242" s="89"/>
      <c r="M242" s="89"/>
    </row>
    <row r="243" spans="1:13">
      <c r="A243" s="88" t="s">
        <v>391</v>
      </c>
      <c r="B243" s="88" t="s">
        <v>291</v>
      </c>
      <c r="C243" s="88" t="b">
        <v>0</v>
      </c>
      <c r="D243" s="88" t="s">
        <v>236</v>
      </c>
      <c r="E243" s="88" t="s">
        <v>237</v>
      </c>
      <c r="F243" s="41" t="s">
        <v>421</v>
      </c>
      <c r="G243" s="89">
        <v>0.16292459622634481</v>
      </c>
      <c r="H243" s="89">
        <v>227.65880092097703</v>
      </c>
      <c r="I243" s="41" t="s">
        <v>293</v>
      </c>
      <c r="J243" s="89"/>
      <c r="K243" s="89"/>
      <c r="L243" s="89"/>
      <c r="M243" s="89"/>
    </row>
    <row r="244" spans="1:13">
      <c r="A244" s="88" t="s">
        <v>391</v>
      </c>
      <c r="B244" s="88" t="s">
        <v>291</v>
      </c>
      <c r="C244" s="88" t="b">
        <v>1</v>
      </c>
      <c r="D244" s="88" t="s">
        <v>236</v>
      </c>
      <c r="E244" s="88" t="s">
        <v>237</v>
      </c>
      <c r="F244" s="41" t="s">
        <v>422</v>
      </c>
      <c r="G244" s="89">
        <v>0.15750065408931005</v>
      </c>
      <c r="H244" s="89">
        <v>228.65268310285302</v>
      </c>
      <c r="I244" s="41" t="s">
        <v>293</v>
      </c>
      <c r="J244" s="89"/>
      <c r="K244" s="89"/>
      <c r="L244" s="89"/>
      <c r="M244" s="89"/>
    </row>
    <row r="245" spans="1:13">
      <c r="A245" s="88" t="s">
        <v>391</v>
      </c>
      <c r="B245" s="88" t="s">
        <v>291</v>
      </c>
      <c r="C245" s="88" t="b">
        <v>0</v>
      </c>
      <c r="D245" s="88" t="s">
        <v>236</v>
      </c>
      <c r="E245" s="88" t="s">
        <v>241</v>
      </c>
      <c r="F245" s="41" t="s">
        <v>423</v>
      </c>
      <c r="G245" s="89">
        <v>0.4436440903554299</v>
      </c>
      <c r="H245" s="89">
        <v>147.62711031931175</v>
      </c>
      <c r="I245" s="41" t="s">
        <v>293</v>
      </c>
      <c r="J245" s="89"/>
      <c r="K245" s="89"/>
      <c r="L245" s="89"/>
      <c r="M245" s="89"/>
    </row>
    <row r="246" spans="1:13">
      <c r="A246" s="88" t="s">
        <v>391</v>
      </c>
      <c r="B246" s="88" t="s">
        <v>291</v>
      </c>
      <c r="C246" s="88" t="b">
        <v>1</v>
      </c>
      <c r="D246" s="88" t="s">
        <v>236</v>
      </c>
      <c r="E246" s="88" t="s">
        <v>241</v>
      </c>
      <c r="F246" s="41" t="s">
        <v>424</v>
      </c>
      <c r="G246" s="89">
        <v>0.40767297164834015</v>
      </c>
      <c r="H246" s="89">
        <v>141.89935298989138</v>
      </c>
      <c r="I246" s="41" t="s">
        <v>293</v>
      </c>
      <c r="J246" s="89"/>
      <c r="K246" s="89"/>
      <c r="L246" s="89"/>
      <c r="M246" s="89"/>
    </row>
    <row r="247" spans="1:13">
      <c r="A247" s="88" t="s">
        <v>391</v>
      </c>
      <c r="B247" s="88" t="s">
        <v>291</v>
      </c>
      <c r="C247" s="88" t="b">
        <v>1</v>
      </c>
      <c r="D247" s="88" t="s">
        <v>247</v>
      </c>
      <c r="E247" s="88" t="s">
        <v>237</v>
      </c>
      <c r="F247" s="41" t="s">
        <v>425</v>
      </c>
      <c r="G247" s="89">
        <v>0.34287073764172848</v>
      </c>
      <c r="H247" s="89">
        <v>268.71533598551071</v>
      </c>
      <c r="I247" s="41" t="s">
        <v>298</v>
      </c>
      <c r="J247" s="89"/>
      <c r="K247" s="89"/>
      <c r="L247" s="89"/>
      <c r="M247" s="89"/>
    </row>
    <row r="248" spans="1:13">
      <c r="A248" s="88" t="s">
        <v>391</v>
      </c>
      <c r="B248" s="88" t="s">
        <v>291</v>
      </c>
      <c r="C248" s="88" t="b">
        <v>1</v>
      </c>
      <c r="D248" s="88" t="s">
        <v>247</v>
      </c>
      <c r="E248" s="88" t="s">
        <v>241</v>
      </c>
      <c r="F248" s="41" t="s">
        <v>426</v>
      </c>
      <c r="G248" s="89">
        <v>0.80415105299176703</v>
      </c>
      <c r="H248" s="89">
        <v>175.37423882559389</v>
      </c>
      <c r="I248" s="41" t="s">
        <v>298</v>
      </c>
      <c r="J248" s="89"/>
      <c r="K248" s="89"/>
      <c r="L248" s="89"/>
      <c r="M248" s="89"/>
    </row>
    <row r="249" spans="1:13">
      <c r="A249" s="88" t="s">
        <v>391</v>
      </c>
      <c r="B249" s="88" t="s">
        <v>314</v>
      </c>
      <c r="C249" s="88" t="b">
        <v>0</v>
      </c>
      <c r="D249" s="88" t="s">
        <v>236</v>
      </c>
      <c r="E249" s="88" t="s">
        <v>237</v>
      </c>
      <c r="F249" s="41" t="s">
        <v>427</v>
      </c>
      <c r="G249" s="89">
        <v>0.10101148393290764</v>
      </c>
      <c r="H249" s="89">
        <v>18.293028037528902</v>
      </c>
      <c r="I249" s="41" t="s">
        <v>316</v>
      </c>
      <c r="J249" s="89"/>
      <c r="K249" s="89"/>
      <c r="L249" s="89"/>
      <c r="M249" s="89"/>
    </row>
    <row r="250" spans="1:13">
      <c r="A250" s="88" t="s">
        <v>391</v>
      </c>
      <c r="B250" s="88" t="s">
        <v>314</v>
      </c>
      <c r="C250" s="88" t="b">
        <v>1</v>
      </c>
      <c r="D250" s="88" t="s">
        <v>236</v>
      </c>
      <c r="E250" s="88" t="s">
        <v>237</v>
      </c>
      <c r="F250" s="41" t="s">
        <v>428</v>
      </c>
      <c r="G250" s="89">
        <v>0.10101122360176515</v>
      </c>
      <c r="H250" s="89">
        <v>18.153135876822805</v>
      </c>
      <c r="I250" s="41" t="s">
        <v>316</v>
      </c>
      <c r="J250" s="89"/>
      <c r="K250" s="89"/>
      <c r="L250" s="89"/>
      <c r="M250" s="89"/>
    </row>
    <row r="251" spans="1:13">
      <c r="A251" s="88" t="s">
        <v>391</v>
      </c>
      <c r="B251" s="88" t="s">
        <v>314</v>
      </c>
      <c r="C251" s="88" t="b">
        <v>0</v>
      </c>
      <c r="D251" s="88" t="s">
        <v>236</v>
      </c>
      <c r="E251" s="88" t="s">
        <v>241</v>
      </c>
      <c r="F251" s="41" t="s">
        <v>429</v>
      </c>
      <c r="G251" s="89">
        <v>0.16059024881624509</v>
      </c>
      <c r="H251" s="89">
        <v>12.47983475735484</v>
      </c>
      <c r="I251" s="41" t="s">
        <v>316</v>
      </c>
      <c r="J251" s="89"/>
      <c r="K251" s="89"/>
      <c r="L251" s="89"/>
      <c r="M251" s="89"/>
    </row>
    <row r="252" spans="1:13">
      <c r="A252" s="88" t="s">
        <v>391</v>
      </c>
      <c r="B252" s="88" t="s">
        <v>314</v>
      </c>
      <c r="C252" s="88" t="b">
        <v>1</v>
      </c>
      <c r="D252" s="88" t="s">
        <v>236</v>
      </c>
      <c r="E252" s="88" t="s">
        <v>241</v>
      </c>
      <c r="F252" s="41" t="s">
        <v>430</v>
      </c>
      <c r="G252" s="89">
        <v>0.16058985617862467</v>
      </c>
      <c r="H252" s="89">
        <v>12.389452951025836</v>
      </c>
      <c r="I252" s="41" t="s">
        <v>316</v>
      </c>
      <c r="J252" s="89"/>
      <c r="K252" s="89"/>
      <c r="L252" s="89"/>
      <c r="M252" s="89"/>
    </row>
    <row r="253" spans="1:13">
      <c r="A253" s="88" t="s">
        <v>391</v>
      </c>
      <c r="B253" s="88" t="s">
        <v>314</v>
      </c>
      <c r="C253" s="88" t="b">
        <v>1</v>
      </c>
      <c r="D253" s="88" t="s">
        <v>247</v>
      </c>
      <c r="E253" s="88" t="s">
        <v>237</v>
      </c>
      <c r="F253" s="41" t="s">
        <v>431</v>
      </c>
      <c r="G253" s="89">
        <v>0.16744210145680832</v>
      </c>
      <c r="H253" s="89">
        <v>24.997180635641929</v>
      </c>
      <c r="I253" s="41" t="s">
        <v>322</v>
      </c>
      <c r="J253" s="89"/>
      <c r="K253" s="89"/>
      <c r="L253" s="89"/>
      <c r="M253" s="89"/>
    </row>
    <row r="254" spans="1:13">
      <c r="A254" s="88" t="s">
        <v>391</v>
      </c>
      <c r="B254" s="88" t="s">
        <v>314</v>
      </c>
      <c r="C254" s="88" t="b">
        <v>1</v>
      </c>
      <c r="D254" s="88" t="s">
        <v>247</v>
      </c>
      <c r="E254" s="88" t="s">
        <v>241</v>
      </c>
      <c r="F254" s="41" t="s">
        <v>432</v>
      </c>
      <c r="G254" s="89">
        <v>0.27909129087967255</v>
      </c>
      <c r="H254" s="89">
        <v>19.502308692355157</v>
      </c>
      <c r="I254" s="41" t="s">
        <v>322</v>
      </c>
      <c r="J254" s="89"/>
      <c r="K254" s="89"/>
      <c r="L254" s="89"/>
      <c r="M254" s="89"/>
    </row>
    <row r="255" spans="1:13">
      <c r="A255" s="88" t="s">
        <v>391</v>
      </c>
      <c r="B255" s="88" t="s">
        <v>314</v>
      </c>
      <c r="C255" s="88" t="b">
        <v>1</v>
      </c>
      <c r="D255" s="88" t="s">
        <v>247</v>
      </c>
      <c r="E255" s="88" t="s">
        <v>244</v>
      </c>
      <c r="F255" s="41" t="s">
        <v>433</v>
      </c>
      <c r="G255" s="89">
        <v>0.8512532472101656</v>
      </c>
      <c r="H255" s="89">
        <v>13.142658614433737</v>
      </c>
      <c r="I255" s="41" t="s">
        <v>322</v>
      </c>
      <c r="J255" s="89"/>
      <c r="K255" s="89"/>
      <c r="L255" s="89"/>
      <c r="M255" s="89"/>
    </row>
    <row r="256" spans="1:13">
      <c r="A256" s="88" t="s">
        <v>391</v>
      </c>
      <c r="B256" s="88" t="s">
        <v>314</v>
      </c>
      <c r="C256" s="88" t="b">
        <v>1</v>
      </c>
      <c r="D256" s="88" t="s">
        <v>399</v>
      </c>
      <c r="E256" s="88" t="s">
        <v>241</v>
      </c>
      <c r="F256" s="41" t="s">
        <v>434</v>
      </c>
      <c r="G256" s="89">
        <v>0.95186879262326984</v>
      </c>
      <c r="H256" s="89">
        <v>31.122522586829842</v>
      </c>
      <c r="I256" s="41" t="s">
        <v>435</v>
      </c>
      <c r="J256" s="89">
        <v>0.75623933661453835</v>
      </c>
      <c r="K256" s="89">
        <v>24.348227361169815</v>
      </c>
      <c r="L256" s="89"/>
      <c r="M256" s="89"/>
    </row>
    <row r="257" spans="1:13">
      <c r="A257" s="88" t="s">
        <v>391</v>
      </c>
      <c r="B257" s="88" t="s">
        <v>327</v>
      </c>
      <c r="C257" s="88" t="b">
        <v>0</v>
      </c>
      <c r="D257" s="88" t="s">
        <v>236</v>
      </c>
      <c r="E257" s="88" t="s">
        <v>237</v>
      </c>
      <c r="F257" s="41" t="s">
        <v>436</v>
      </c>
      <c r="G257" s="89">
        <v>9.203822992319699E-2</v>
      </c>
      <c r="H257" s="89">
        <v>34.737940215626395</v>
      </c>
      <c r="I257" s="41" t="s">
        <v>329</v>
      </c>
      <c r="J257" s="89"/>
      <c r="K257" s="89"/>
      <c r="L257" s="89"/>
      <c r="M257" s="89"/>
    </row>
    <row r="258" spans="1:13">
      <c r="A258" s="88" t="s">
        <v>391</v>
      </c>
      <c r="B258" s="88" t="s">
        <v>327</v>
      </c>
      <c r="C258" s="88" t="b">
        <v>1</v>
      </c>
      <c r="D258" s="88" t="s">
        <v>236</v>
      </c>
      <c r="E258" s="88" t="s">
        <v>237</v>
      </c>
      <c r="F258" s="41" t="s">
        <v>437</v>
      </c>
      <c r="G258" s="89">
        <v>9.1614268606774463E-2</v>
      </c>
      <c r="H258" s="89">
        <v>34.597674322344531</v>
      </c>
      <c r="I258" s="41" t="s">
        <v>329</v>
      </c>
      <c r="J258" s="89"/>
      <c r="K258" s="89"/>
      <c r="L258" s="89"/>
      <c r="M258" s="89"/>
    </row>
    <row r="259" spans="1:13">
      <c r="A259" s="88" t="s">
        <v>391</v>
      </c>
      <c r="B259" s="88" t="s">
        <v>327</v>
      </c>
      <c r="C259" s="88" t="b">
        <v>0</v>
      </c>
      <c r="D259" s="88" t="s">
        <v>236</v>
      </c>
      <c r="E259" s="88" t="s">
        <v>241</v>
      </c>
      <c r="F259" s="41" t="s">
        <v>438</v>
      </c>
      <c r="G259" s="89">
        <v>0.33487545487162995</v>
      </c>
      <c r="H259" s="89">
        <v>23.846222855768328</v>
      </c>
      <c r="I259" s="41" t="s">
        <v>329</v>
      </c>
      <c r="J259" s="89"/>
      <c r="K259" s="89"/>
      <c r="L259" s="89"/>
      <c r="M259" s="89"/>
    </row>
    <row r="260" spans="1:13">
      <c r="A260" s="88" t="s">
        <v>391</v>
      </c>
      <c r="B260" s="88" t="s">
        <v>327</v>
      </c>
      <c r="C260" s="88" t="b">
        <v>1</v>
      </c>
      <c r="D260" s="88" t="s">
        <v>236</v>
      </c>
      <c r="E260" s="88" t="s">
        <v>241</v>
      </c>
      <c r="F260" s="41" t="s">
        <v>439</v>
      </c>
      <c r="G260" s="89">
        <v>0.33180815439749189</v>
      </c>
      <c r="H260" s="89">
        <v>23.563571980471774</v>
      </c>
      <c r="I260" s="41" t="s">
        <v>329</v>
      </c>
      <c r="J260" s="89"/>
      <c r="K260" s="89"/>
      <c r="L260" s="89"/>
      <c r="M260" s="89"/>
    </row>
    <row r="261" spans="1:13">
      <c r="A261" s="88" t="s">
        <v>391</v>
      </c>
      <c r="B261" s="88" t="s">
        <v>327</v>
      </c>
      <c r="C261" s="88" t="b">
        <v>1</v>
      </c>
      <c r="D261" s="88" t="s">
        <v>247</v>
      </c>
      <c r="E261" s="88" t="s">
        <v>237</v>
      </c>
      <c r="F261" s="41" t="s">
        <v>440</v>
      </c>
      <c r="G261" s="89">
        <v>0.20145917376791883</v>
      </c>
      <c r="H261" s="89">
        <v>42.905757493680703</v>
      </c>
      <c r="I261" s="41" t="s">
        <v>335</v>
      </c>
      <c r="J261" s="89"/>
      <c r="K261" s="89"/>
      <c r="L261" s="89"/>
      <c r="M261" s="89"/>
    </row>
    <row r="262" spans="1:13">
      <c r="A262" s="88" t="s">
        <v>391</v>
      </c>
      <c r="B262" s="88" t="s">
        <v>327</v>
      </c>
      <c r="C262" s="88" t="b">
        <v>1</v>
      </c>
      <c r="D262" s="88" t="s">
        <v>247</v>
      </c>
      <c r="E262" s="88" t="s">
        <v>241</v>
      </c>
      <c r="F262" s="41" t="s">
        <v>441</v>
      </c>
      <c r="G262" s="89">
        <v>0.6686553183652808</v>
      </c>
      <c r="H262" s="89">
        <v>31.31607137880129</v>
      </c>
      <c r="I262" s="41" t="s">
        <v>335</v>
      </c>
      <c r="J262" s="89"/>
      <c r="K262" s="89"/>
      <c r="L262" s="89"/>
      <c r="M262" s="89"/>
    </row>
    <row r="263" spans="1:13">
      <c r="A263" s="88" t="s">
        <v>442</v>
      </c>
      <c r="B263" s="88" t="s">
        <v>235</v>
      </c>
      <c r="C263" s="88" t="b">
        <v>0</v>
      </c>
      <c r="D263" s="88" t="s">
        <v>236</v>
      </c>
      <c r="E263" s="88" t="s">
        <v>237</v>
      </c>
      <c r="F263" s="41" t="s">
        <v>443</v>
      </c>
      <c r="G263" s="89">
        <v>6.0592584488517821E-2</v>
      </c>
      <c r="H263" s="89">
        <v>26.397177367212578</v>
      </c>
      <c r="I263" s="41" t="s">
        <v>239</v>
      </c>
      <c r="J263" s="89"/>
      <c r="K263" s="89"/>
      <c r="L263" s="89"/>
      <c r="M263" s="89"/>
    </row>
    <row r="264" spans="1:13">
      <c r="A264" s="88" t="s">
        <v>442</v>
      </c>
      <c r="B264" s="88" t="s">
        <v>235</v>
      </c>
      <c r="C264" s="88" t="b">
        <v>1</v>
      </c>
      <c r="D264" s="88" t="s">
        <v>236</v>
      </c>
      <c r="E264" s="88" t="s">
        <v>237</v>
      </c>
      <c r="F264" s="41" t="s">
        <v>444</v>
      </c>
      <c r="G264" s="89">
        <v>6.0582166670006848E-2</v>
      </c>
      <c r="H264" s="89">
        <v>26.317222653587478</v>
      </c>
      <c r="I264" s="41" t="s">
        <v>239</v>
      </c>
      <c r="J264" s="89"/>
      <c r="K264" s="89"/>
      <c r="L264" s="89"/>
      <c r="M264" s="89"/>
    </row>
    <row r="265" spans="1:13">
      <c r="A265" s="88" t="s">
        <v>442</v>
      </c>
      <c r="B265" s="88" t="s">
        <v>235</v>
      </c>
      <c r="C265" s="88" t="b">
        <v>0</v>
      </c>
      <c r="D265" s="88" t="s">
        <v>236</v>
      </c>
      <c r="E265" s="88" t="s">
        <v>241</v>
      </c>
      <c r="F265" s="41" t="s">
        <v>445</v>
      </c>
      <c r="G265" s="89">
        <v>0.34188438426249124</v>
      </c>
      <c r="H265" s="89">
        <v>19.282865215133032</v>
      </c>
      <c r="I265" s="41" t="s">
        <v>239</v>
      </c>
      <c r="J265" s="89"/>
      <c r="K265" s="89"/>
      <c r="L265" s="89"/>
      <c r="M265" s="89"/>
    </row>
    <row r="266" spans="1:13">
      <c r="A266" s="88" t="s">
        <v>442</v>
      </c>
      <c r="B266" s="88" t="s">
        <v>235</v>
      </c>
      <c r="C266" s="88" t="b">
        <v>1</v>
      </c>
      <c r="D266" s="88" t="s">
        <v>236</v>
      </c>
      <c r="E266" s="88" t="s">
        <v>241</v>
      </c>
      <c r="F266" s="41" t="s">
        <v>446</v>
      </c>
      <c r="G266" s="89">
        <v>0.34181450819707121</v>
      </c>
      <c r="H266" s="89">
        <v>19.226490695617095</v>
      </c>
      <c r="I266" s="41" t="s">
        <v>239</v>
      </c>
      <c r="J266" s="89"/>
      <c r="K266" s="89"/>
      <c r="L266" s="89"/>
      <c r="M266" s="89"/>
    </row>
    <row r="267" spans="1:13">
      <c r="A267" s="88" t="s">
        <v>442</v>
      </c>
      <c r="B267" s="88" t="s">
        <v>235</v>
      </c>
      <c r="C267" s="88" t="b">
        <v>0</v>
      </c>
      <c r="D267" s="88" t="s">
        <v>236</v>
      </c>
      <c r="E267" s="88" t="s">
        <v>244</v>
      </c>
      <c r="F267" s="41" t="s">
        <v>447</v>
      </c>
      <c r="G267" s="89">
        <v>0.56210219059754374</v>
      </c>
      <c r="H267" s="89">
        <v>20.509435372371449</v>
      </c>
      <c r="I267" s="41" t="s">
        <v>239</v>
      </c>
      <c r="J267" s="89"/>
      <c r="K267" s="89"/>
      <c r="L267" s="89"/>
      <c r="M267" s="89"/>
    </row>
    <row r="268" spans="1:13">
      <c r="A268" s="88" t="s">
        <v>442</v>
      </c>
      <c r="B268" s="88" t="s">
        <v>235</v>
      </c>
      <c r="C268" s="88" t="b">
        <v>1</v>
      </c>
      <c r="D268" s="88" t="s">
        <v>236</v>
      </c>
      <c r="E268" s="88" t="s">
        <v>244</v>
      </c>
      <c r="F268" s="41" t="s">
        <v>448</v>
      </c>
      <c r="G268" s="89">
        <v>0.56196578453387513</v>
      </c>
      <c r="H268" s="89">
        <v>20.452687500523627</v>
      </c>
      <c r="I268" s="41" t="s">
        <v>239</v>
      </c>
      <c r="J268" s="89"/>
      <c r="K268" s="89"/>
      <c r="L268" s="89"/>
      <c r="M268" s="89"/>
    </row>
    <row r="269" spans="1:13">
      <c r="A269" s="88" t="s">
        <v>442</v>
      </c>
      <c r="B269" s="88" t="s">
        <v>235</v>
      </c>
      <c r="C269" s="88" t="b">
        <v>0</v>
      </c>
      <c r="D269" s="88" t="s">
        <v>247</v>
      </c>
      <c r="E269" s="88" t="s">
        <v>237</v>
      </c>
      <c r="F269" s="41" t="s">
        <v>449</v>
      </c>
      <c r="G269" s="89">
        <v>0.17537728914488418</v>
      </c>
      <c r="H269" s="89">
        <v>31.509091926386176</v>
      </c>
      <c r="I269" s="41" t="s">
        <v>249</v>
      </c>
      <c r="J269" s="89"/>
      <c r="K269" s="89"/>
      <c r="L269" s="89"/>
      <c r="M269" s="89"/>
    </row>
    <row r="270" spans="1:13">
      <c r="A270" s="88" t="s">
        <v>442</v>
      </c>
      <c r="B270" s="88" t="s">
        <v>235</v>
      </c>
      <c r="C270" s="88" t="b">
        <v>1</v>
      </c>
      <c r="D270" s="88" t="s">
        <v>247</v>
      </c>
      <c r="E270" s="88" t="s">
        <v>237</v>
      </c>
      <c r="F270" s="41" t="s">
        <v>450</v>
      </c>
      <c r="G270" s="89">
        <v>0.17535803032209482</v>
      </c>
      <c r="H270" s="89">
        <v>31.414366562371431</v>
      </c>
      <c r="I270" s="41" t="s">
        <v>249</v>
      </c>
      <c r="J270" s="89"/>
      <c r="K270" s="89"/>
      <c r="L270" s="89"/>
      <c r="M270" s="89"/>
    </row>
    <row r="271" spans="1:13">
      <c r="A271" s="88" t="s">
        <v>442</v>
      </c>
      <c r="B271" s="88" t="s">
        <v>235</v>
      </c>
      <c r="C271" s="88" t="b">
        <v>0</v>
      </c>
      <c r="D271" s="88" t="s">
        <v>247</v>
      </c>
      <c r="E271" s="88" t="s">
        <v>241</v>
      </c>
      <c r="F271" s="41" t="s">
        <v>451</v>
      </c>
      <c r="G271" s="89">
        <v>0.73582926930533388</v>
      </c>
      <c r="H271" s="89">
        <v>24.034498340050803</v>
      </c>
      <c r="I271" s="41" t="s">
        <v>249</v>
      </c>
      <c r="J271" s="89"/>
      <c r="K271" s="89"/>
      <c r="L271" s="89"/>
      <c r="M271" s="89"/>
    </row>
    <row r="272" spans="1:13">
      <c r="A272" s="88" t="s">
        <v>442</v>
      </c>
      <c r="B272" s="88" t="s">
        <v>235</v>
      </c>
      <c r="C272" s="88" t="b">
        <v>1</v>
      </c>
      <c r="D272" s="88" t="s">
        <v>247</v>
      </c>
      <c r="E272" s="88" t="s">
        <v>241</v>
      </c>
      <c r="F272" s="41" t="s">
        <v>452</v>
      </c>
      <c r="G272" s="89">
        <v>0.735735906665413</v>
      </c>
      <c r="H272" s="89">
        <v>23.965617110947107</v>
      </c>
      <c r="I272" s="41" t="s">
        <v>249</v>
      </c>
      <c r="J272" s="89"/>
      <c r="K272" s="89"/>
      <c r="L272" s="89"/>
      <c r="M272" s="89"/>
    </row>
    <row r="273" spans="1:13">
      <c r="A273" s="88" t="s">
        <v>442</v>
      </c>
      <c r="B273" s="88" t="s">
        <v>235</v>
      </c>
      <c r="C273" s="88" t="b">
        <v>0</v>
      </c>
      <c r="D273" s="88" t="s">
        <v>247</v>
      </c>
      <c r="E273" s="88" t="s">
        <v>244</v>
      </c>
      <c r="F273" s="41" t="s">
        <v>453</v>
      </c>
      <c r="G273" s="89">
        <v>0.99028045988163893</v>
      </c>
      <c r="H273" s="89">
        <v>22.416158131780392</v>
      </c>
      <c r="I273" s="41" t="s">
        <v>249</v>
      </c>
      <c r="J273" s="89"/>
      <c r="K273" s="89"/>
      <c r="L273" s="89"/>
      <c r="M273" s="89"/>
    </row>
    <row r="274" spans="1:13">
      <c r="A274" s="88" t="s">
        <v>442</v>
      </c>
      <c r="B274" s="88" t="s">
        <v>235</v>
      </c>
      <c r="C274" s="88" t="b">
        <v>1</v>
      </c>
      <c r="D274" s="88" t="s">
        <v>247</v>
      </c>
      <c r="E274" s="88" t="s">
        <v>244</v>
      </c>
      <c r="F274" s="41" t="s">
        <v>454</v>
      </c>
      <c r="G274" s="89">
        <v>0.99010424808601316</v>
      </c>
      <c r="H274" s="89">
        <v>22.357247948876974</v>
      </c>
      <c r="I274" s="41" t="s">
        <v>249</v>
      </c>
      <c r="J274" s="89"/>
      <c r="K274" s="89"/>
      <c r="L274" s="89"/>
      <c r="M274" s="89"/>
    </row>
    <row r="275" spans="1:13">
      <c r="A275" s="88" t="s">
        <v>442</v>
      </c>
      <c r="B275" s="88" t="s">
        <v>235</v>
      </c>
      <c r="C275" s="88" t="b">
        <v>1</v>
      </c>
      <c r="D275" s="88" t="s">
        <v>399</v>
      </c>
      <c r="E275" s="88" t="s">
        <v>237</v>
      </c>
      <c r="F275" s="41" t="s">
        <v>455</v>
      </c>
      <c r="G275" s="89">
        <v>0.8569518283827724</v>
      </c>
      <c r="H275" s="89">
        <v>35.044811123670101</v>
      </c>
      <c r="I275" s="41" t="s">
        <v>401</v>
      </c>
      <c r="J275" s="89"/>
      <c r="K275" s="89"/>
      <c r="L275" s="89"/>
      <c r="M275" s="89"/>
    </row>
    <row r="276" spans="1:13">
      <c r="A276" s="88" t="s">
        <v>442</v>
      </c>
      <c r="B276" s="88" t="s">
        <v>255</v>
      </c>
      <c r="C276" s="88" t="b">
        <v>0</v>
      </c>
      <c r="D276" s="88" t="s">
        <v>236</v>
      </c>
      <c r="E276" s="88" t="s">
        <v>237</v>
      </c>
      <c r="F276" s="41" t="s">
        <v>456</v>
      </c>
      <c r="G276" s="89">
        <v>5.3602459417258698E-2</v>
      </c>
      <c r="H276" s="89">
        <v>26.288722579895399</v>
      </c>
      <c r="I276" s="41" t="s">
        <v>257</v>
      </c>
      <c r="J276" s="89"/>
      <c r="K276" s="89"/>
      <c r="L276" s="89"/>
      <c r="M276" s="89"/>
    </row>
    <row r="277" spans="1:13">
      <c r="A277" s="88" t="s">
        <v>442</v>
      </c>
      <c r="B277" s="88" t="s">
        <v>255</v>
      </c>
      <c r="C277" s="88" t="b">
        <v>1</v>
      </c>
      <c r="D277" s="88" t="s">
        <v>236</v>
      </c>
      <c r="E277" s="88" t="s">
        <v>237</v>
      </c>
      <c r="F277" s="41" t="s">
        <v>457</v>
      </c>
      <c r="G277" s="89">
        <v>5.3602459417258698E-2</v>
      </c>
      <c r="H277" s="89">
        <v>26.219874727732513</v>
      </c>
      <c r="I277" s="41" t="s">
        <v>257</v>
      </c>
      <c r="J277" s="89"/>
      <c r="K277" s="89"/>
      <c r="L277" s="89"/>
      <c r="M277" s="89"/>
    </row>
    <row r="278" spans="1:13">
      <c r="A278" s="88" t="s">
        <v>442</v>
      </c>
      <c r="B278" s="88" t="s">
        <v>255</v>
      </c>
      <c r="C278" s="88" t="b">
        <v>0</v>
      </c>
      <c r="D278" s="88" t="s">
        <v>236</v>
      </c>
      <c r="E278" s="88" t="s">
        <v>241</v>
      </c>
      <c r="F278" s="41" t="s">
        <v>458</v>
      </c>
      <c r="G278" s="89">
        <v>0.29523438269230684</v>
      </c>
      <c r="H278" s="89">
        <v>18.435086025803336</v>
      </c>
      <c r="I278" s="41" t="s">
        <v>257</v>
      </c>
      <c r="J278" s="89"/>
      <c r="K278" s="89"/>
      <c r="L278" s="89"/>
      <c r="M278" s="89"/>
    </row>
    <row r="279" spans="1:13">
      <c r="A279" s="88" t="s">
        <v>442</v>
      </c>
      <c r="B279" s="88" t="s">
        <v>255</v>
      </c>
      <c r="C279" s="88" t="b">
        <v>1</v>
      </c>
      <c r="D279" s="88" t="s">
        <v>236</v>
      </c>
      <c r="E279" s="88" t="s">
        <v>241</v>
      </c>
      <c r="F279" s="41" t="s">
        <v>459</v>
      </c>
      <c r="G279" s="89">
        <v>0.29523438269230684</v>
      </c>
      <c r="H279" s="89">
        <v>18.390801610361105</v>
      </c>
      <c r="I279" s="41" t="s">
        <v>257</v>
      </c>
      <c r="J279" s="89"/>
      <c r="K279" s="89"/>
      <c r="L279" s="89"/>
      <c r="M279" s="89"/>
    </row>
    <row r="280" spans="1:13">
      <c r="A280" s="88" t="s">
        <v>442</v>
      </c>
      <c r="B280" s="88" t="s">
        <v>255</v>
      </c>
      <c r="C280" s="88" t="b">
        <v>0</v>
      </c>
      <c r="D280" s="88" t="s">
        <v>236</v>
      </c>
      <c r="E280" s="88" t="s">
        <v>244</v>
      </c>
      <c r="F280" s="41" t="s">
        <v>460</v>
      </c>
      <c r="G280" s="89">
        <v>0.50326363651031136</v>
      </c>
      <c r="H280" s="89">
        <v>19.16621415554544</v>
      </c>
      <c r="I280" s="41" t="s">
        <v>257</v>
      </c>
      <c r="J280" s="89"/>
      <c r="K280" s="89"/>
      <c r="L280" s="89"/>
      <c r="M280" s="89"/>
    </row>
    <row r="281" spans="1:13">
      <c r="A281" s="88" t="s">
        <v>442</v>
      </c>
      <c r="B281" s="88" t="s">
        <v>255</v>
      </c>
      <c r="C281" s="88" t="b">
        <v>1</v>
      </c>
      <c r="D281" s="88" t="s">
        <v>236</v>
      </c>
      <c r="E281" s="88" t="s">
        <v>244</v>
      </c>
      <c r="F281" s="41" t="s">
        <v>461</v>
      </c>
      <c r="G281" s="89">
        <v>0.50326363651031136</v>
      </c>
      <c r="H281" s="89">
        <v>19.123574366234593</v>
      </c>
      <c r="I281" s="41" t="s">
        <v>257</v>
      </c>
      <c r="J281" s="89"/>
      <c r="K281" s="89"/>
      <c r="L281" s="89"/>
      <c r="M281" s="89"/>
    </row>
    <row r="282" spans="1:13">
      <c r="A282" s="88" t="s">
        <v>442</v>
      </c>
      <c r="B282" s="88" t="s">
        <v>255</v>
      </c>
      <c r="C282" s="88" t="b">
        <v>0</v>
      </c>
      <c r="D282" s="88" t="s">
        <v>247</v>
      </c>
      <c r="E282" s="88" t="s">
        <v>237</v>
      </c>
      <c r="F282" s="41" t="s">
        <v>462</v>
      </c>
      <c r="G282" s="89">
        <v>0.15221957880027007</v>
      </c>
      <c r="H282" s="89">
        <v>31.247808561461444</v>
      </c>
      <c r="I282" s="41" t="s">
        <v>263</v>
      </c>
      <c r="J282" s="89"/>
      <c r="K282" s="89"/>
      <c r="L282" s="89"/>
      <c r="M282" s="89"/>
    </row>
    <row r="283" spans="1:13">
      <c r="A283" s="88" t="s">
        <v>442</v>
      </c>
      <c r="B283" s="88" t="s">
        <v>255</v>
      </c>
      <c r="C283" s="88" t="b">
        <v>1</v>
      </c>
      <c r="D283" s="88" t="s">
        <v>247</v>
      </c>
      <c r="E283" s="88" t="s">
        <v>237</v>
      </c>
      <c r="F283" s="41" t="s">
        <v>463</v>
      </c>
      <c r="G283" s="89">
        <v>0.15221957880027007</v>
      </c>
      <c r="H283" s="89">
        <v>31.166812852979639</v>
      </c>
      <c r="I283" s="41" t="s">
        <v>263</v>
      </c>
      <c r="J283" s="89"/>
      <c r="K283" s="89"/>
      <c r="L283" s="89"/>
      <c r="M283" s="89"/>
    </row>
    <row r="284" spans="1:13">
      <c r="A284" s="88" t="s">
        <v>442</v>
      </c>
      <c r="B284" s="88" t="s">
        <v>255</v>
      </c>
      <c r="C284" s="88" t="b">
        <v>0</v>
      </c>
      <c r="D284" s="88" t="s">
        <v>247</v>
      </c>
      <c r="E284" s="88" t="s">
        <v>241</v>
      </c>
      <c r="F284" s="41" t="s">
        <v>464</v>
      </c>
      <c r="G284" s="89">
        <v>0.6166878401932645</v>
      </c>
      <c r="H284" s="89">
        <v>22.762196300974669</v>
      </c>
      <c r="I284" s="41" t="s">
        <v>263</v>
      </c>
      <c r="J284" s="89"/>
      <c r="K284" s="89"/>
      <c r="L284" s="89"/>
      <c r="M284" s="89"/>
    </row>
    <row r="285" spans="1:13">
      <c r="A285" s="88" t="s">
        <v>442</v>
      </c>
      <c r="B285" s="88" t="s">
        <v>255</v>
      </c>
      <c r="C285" s="88" t="b">
        <v>1</v>
      </c>
      <c r="D285" s="88" t="s">
        <v>247</v>
      </c>
      <c r="E285" s="88" t="s">
        <v>241</v>
      </c>
      <c r="F285" s="41" t="s">
        <v>465</v>
      </c>
      <c r="G285" s="89">
        <v>0.6166878401932645</v>
      </c>
      <c r="H285" s="89">
        <v>22.708755567832352</v>
      </c>
      <c r="I285" s="41" t="s">
        <v>263</v>
      </c>
      <c r="J285" s="89"/>
      <c r="K285" s="89"/>
      <c r="L285" s="89"/>
      <c r="M285" s="89"/>
    </row>
    <row r="286" spans="1:13">
      <c r="A286" s="88" t="s">
        <v>442</v>
      </c>
      <c r="B286" s="88" t="s">
        <v>255</v>
      </c>
      <c r="C286" s="88" t="b">
        <v>0</v>
      </c>
      <c r="D286" s="88" t="s">
        <v>247</v>
      </c>
      <c r="E286" s="88" t="s">
        <v>244</v>
      </c>
      <c r="F286" s="41" t="s">
        <v>466</v>
      </c>
      <c r="G286" s="89">
        <v>0.86320127877579789</v>
      </c>
      <c r="H286" s="89">
        <v>20.525310181620274</v>
      </c>
      <c r="I286" s="41" t="s">
        <v>263</v>
      </c>
      <c r="J286" s="89"/>
      <c r="K286" s="89"/>
      <c r="L286" s="89"/>
      <c r="M286" s="89"/>
    </row>
    <row r="287" spans="1:13">
      <c r="A287" s="88" t="s">
        <v>442</v>
      </c>
      <c r="B287" s="88" t="s">
        <v>255</v>
      </c>
      <c r="C287" s="88" t="b">
        <v>1</v>
      </c>
      <c r="D287" s="88" t="s">
        <v>247</v>
      </c>
      <c r="E287" s="88" t="s">
        <v>244</v>
      </c>
      <c r="F287" s="41" t="s">
        <v>467</v>
      </c>
      <c r="G287" s="89">
        <v>0.86320127877579789</v>
      </c>
      <c r="H287" s="89">
        <v>20.482537944095384</v>
      </c>
      <c r="I287" s="41" t="s">
        <v>263</v>
      </c>
      <c r="J287" s="89"/>
      <c r="K287" s="89"/>
      <c r="L287" s="89"/>
      <c r="M287" s="89"/>
    </row>
    <row r="288" spans="1:13">
      <c r="A288" s="88" t="s">
        <v>442</v>
      </c>
      <c r="B288" s="88" t="s">
        <v>255</v>
      </c>
      <c r="C288" s="88" t="b">
        <v>1</v>
      </c>
      <c r="D288" s="88" t="s">
        <v>399</v>
      </c>
      <c r="E288" s="88" t="s">
        <v>237</v>
      </c>
      <c r="F288" s="41" t="s">
        <v>468</v>
      </c>
      <c r="G288" s="89">
        <v>0.76326653494025309</v>
      </c>
      <c r="H288" s="89">
        <v>34.334457956495406</v>
      </c>
      <c r="I288" s="41" t="s">
        <v>410</v>
      </c>
      <c r="J288" s="89"/>
      <c r="K288" s="89"/>
      <c r="L288" s="89"/>
      <c r="M288" s="89"/>
    </row>
    <row r="289" spans="1:13">
      <c r="A289" s="88" t="s">
        <v>442</v>
      </c>
      <c r="B289" s="88" t="s">
        <v>269</v>
      </c>
      <c r="C289" s="88" t="b">
        <v>0</v>
      </c>
      <c r="D289" s="88" t="s">
        <v>236</v>
      </c>
      <c r="E289" s="88" t="s">
        <v>237</v>
      </c>
      <c r="F289" s="41" t="s">
        <v>469</v>
      </c>
      <c r="G289" s="89">
        <v>5.3241788883553298E-2</v>
      </c>
      <c r="H289" s="89">
        <v>22.149428099980568</v>
      </c>
      <c r="I289" s="41" t="s">
        <v>271</v>
      </c>
      <c r="J289" s="89"/>
      <c r="K289" s="89"/>
      <c r="L289" s="89"/>
      <c r="M289" s="89"/>
    </row>
    <row r="290" spans="1:13">
      <c r="A290" s="88" t="s">
        <v>442</v>
      </c>
      <c r="B290" s="88" t="s">
        <v>269</v>
      </c>
      <c r="C290" s="88" t="b">
        <v>1</v>
      </c>
      <c r="D290" s="88" t="s">
        <v>236</v>
      </c>
      <c r="E290" s="88" t="s">
        <v>237</v>
      </c>
      <c r="F290" s="41" t="s">
        <v>470</v>
      </c>
      <c r="G290" s="89">
        <v>5.3241788883553298E-2</v>
      </c>
      <c r="H290" s="89">
        <v>22.092641385302347</v>
      </c>
      <c r="I290" s="41" t="s">
        <v>271</v>
      </c>
      <c r="J290" s="89"/>
      <c r="K290" s="89"/>
      <c r="L290" s="89"/>
      <c r="M290" s="89"/>
    </row>
    <row r="291" spans="1:13">
      <c r="A291" s="88" t="s">
        <v>442</v>
      </c>
      <c r="B291" s="88" t="s">
        <v>269</v>
      </c>
      <c r="C291" s="88" t="b">
        <v>0</v>
      </c>
      <c r="D291" s="88" t="s">
        <v>236</v>
      </c>
      <c r="E291" s="88" t="s">
        <v>241</v>
      </c>
      <c r="F291" s="41" t="s">
        <v>471</v>
      </c>
      <c r="G291" s="89">
        <v>0.31442646171193694</v>
      </c>
      <c r="H291" s="89">
        <v>15.496879275783909</v>
      </c>
      <c r="I291" s="41" t="s">
        <v>271</v>
      </c>
      <c r="J291" s="89"/>
      <c r="K291" s="89"/>
      <c r="L291" s="89"/>
      <c r="M291" s="89"/>
    </row>
    <row r="292" spans="1:13">
      <c r="A292" s="88" t="s">
        <v>442</v>
      </c>
      <c r="B292" s="88" t="s">
        <v>269</v>
      </c>
      <c r="C292" s="88" t="b">
        <v>1</v>
      </c>
      <c r="D292" s="88" t="s">
        <v>236</v>
      </c>
      <c r="E292" s="88" t="s">
        <v>241</v>
      </c>
      <c r="F292" s="41" t="s">
        <v>472</v>
      </c>
      <c r="G292" s="89">
        <v>0.31442646171193694</v>
      </c>
      <c r="H292" s="89">
        <v>15.460360954110936</v>
      </c>
      <c r="I292" s="41" t="s">
        <v>271</v>
      </c>
      <c r="J292" s="89"/>
      <c r="K292" s="89"/>
      <c r="L292" s="89"/>
      <c r="M292" s="89"/>
    </row>
    <row r="293" spans="1:13">
      <c r="A293" s="88" t="s">
        <v>442</v>
      </c>
      <c r="B293" s="88" t="s">
        <v>269</v>
      </c>
      <c r="C293" s="88" t="b">
        <v>0</v>
      </c>
      <c r="D293" s="88" t="s">
        <v>236</v>
      </c>
      <c r="E293" s="88" t="s">
        <v>244</v>
      </c>
      <c r="F293" s="41" t="s">
        <v>473</v>
      </c>
      <c r="G293" s="89">
        <v>0.5327461421969053</v>
      </c>
      <c r="H293" s="89">
        <v>16.001060036987361</v>
      </c>
      <c r="I293" s="41" t="s">
        <v>271</v>
      </c>
      <c r="J293" s="89"/>
      <c r="K293" s="89"/>
      <c r="L293" s="89"/>
      <c r="M293" s="89"/>
    </row>
    <row r="294" spans="1:13">
      <c r="A294" s="88" t="s">
        <v>442</v>
      </c>
      <c r="B294" s="88" t="s">
        <v>269</v>
      </c>
      <c r="C294" s="88" t="b">
        <v>1</v>
      </c>
      <c r="D294" s="88" t="s">
        <v>236</v>
      </c>
      <c r="E294" s="88" t="s">
        <v>244</v>
      </c>
      <c r="F294" s="41" t="s">
        <v>474</v>
      </c>
      <c r="G294" s="89">
        <v>0.5327461421969053</v>
      </c>
      <c r="H294" s="89">
        <v>15.965927412857395</v>
      </c>
      <c r="I294" s="41" t="s">
        <v>271</v>
      </c>
      <c r="J294" s="89"/>
      <c r="K294" s="89"/>
      <c r="L294" s="89"/>
      <c r="M294" s="89"/>
    </row>
    <row r="295" spans="1:13">
      <c r="A295" s="88" t="s">
        <v>442</v>
      </c>
      <c r="B295" s="88" t="s">
        <v>269</v>
      </c>
      <c r="C295" s="88" t="b">
        <v>1</v>
      </c>
      <c r="D295" s="88" t="s">
        <v>247</v>
      </c>
      <c r="E295" s="88" t="s">
        <v>237</v>
      </c>
      <c r="F295" s="41" t="s">
        <v>475</v>
      </c>
      <c r="G295" s="89">
        <v>0.15485935515476945</v>
      </c>
      <c r="H295" s="89">
        <v>26.186212050207249</v>
      </c>
      <c r="I295" s="41" t="s">
        <v>275</v>
      </c>
      <c r="J295" s="89"/>
      <c r="K295" s="89"/>
      <c r="L295" s="89"/>
      <c r="M295" s="89"/>
    </row>
    <row r="296" spans="1:13">
      <c r="A296" s="88" t="s">
        <v>442</v>
      </c>
      <c r="B296" s="88" t="s">
        <v>269</v>
      </c>
      <c r="C296" s="88" t="b">
        <v>0</v>
      </c>
      <c r="D296" s="88" t="s">
        <v>247</v>
      </c>
      <c r="E296" s="88" t="s">
        <v>241</v>
      </c>
      <c r="F296" s="41" t="s">
        <v>476</v>
      </c>
      <c r="G296" s="89">
        <v>0.66020664387170536</v>
      </c>
      <c r="H296" s="89">
        <v>19.128196997090214</v>
      </c>
      <c r="I296" s="41" t="s">
        <v>275</v>
      </c>
      <c r="J296" s="89"/>
      <c r="K296" s="89"/>
      <c r="L296" s="89"/>
      <c r="M296" s="89"/>
    </row>
    <row r="297" spans="1:13">
      <c r="A297" s="88" t="s">
        <v>442</v>
      </c>
      <c r="B297" s="88" t="s">
        <v>269</v>
      </c>
      <c r="C297" s="88" t="b">
        <v>1</v>
      </c>
      <c r="D297" s="88" t="s">
        <v>247</v>
      </c>
      <c r="E297" s="88" t="s">
        <v>241</v>
      </c>
      <c r="F297" s="41" t="s">
        <v>477</v>
      </c>
      <c r="G297" s="89">
        <v>0.66020664387170536</v>
      </c>
      <c r="H297" s="89">
        <v>19.084069522600871</v>
      </c>
      <c r="I297" s="41" t="s">
        <v>275</v>
      </c>
      <c r="J297" s="89"/>
      <c r="K297" s="89"/>
      <c r="L297" s="89"/>
      <c r="M297" s="89"/>
    </row>
    <row r="298" spans="1:13">
      <c r="A298" s="88" t="s">
        <v>442</v>
      </c>
      <c r="B298" s="88" t="s">
        <v>269</v>
      </c>
      <c r="C298" s="88" t="b">
        <v>0</v>
      </c>
      <c r="D298" s="88" t="s">
        <v>247</v>
      </c>
      <c r="E298" s="88" t="s">
        <v>244</v>
      </c>
      <c r="F298" s="41" t="s">
        <v>478</v>
      </c>
      <c r="G298" s="89">
        <v>0.91816711728596134</v>
      </c>
      <c r="H298" s="89">
        <v>17.151286138298776</v>
      </c>
      <c r="I298" s="41" t="s">
        <v>275</v>
      </c>
      <c r="J298" s="89"/>
      <c r="K298" s="89"/>
      <c r="L298" s="89"/>
      <c r="M298" s="89"/>
    </row>
    <row r="299" spans="1:13">
      <c r="A299" s="88" t="s">
        <v>442</v>
      </c>
      <c r="B299" s="88" t="s">
        <v>269</v>
      </c>
      <c r="C299" s="88" t="b">
        <v>1</v>
      </c>
      <c r="D299" s="88" t="s">
        <v>247</v>
      </c>
      <c r="E299" s="88" t="s">
        <v>244</v>
      </c>
      <c r="F299" s="41" t="s">
        <v>479</v>
      </c>
      <c r="G299" s="89">
        <v>0.91816711728596134</v>
      </c>
      <c r="H299" s="89">
        <v>17.11599309824188</v>
      </c>
      <c r="I299" s="41" t="s">
        <v>275</v>
      </c>
      <c r="J299" s="89"/>
      <c r="K299" s="89"/>
      <c r="L299" s="89"/>
      <c r="M299" s="89"/>
    </row>
    <row r="300" spans="1:13">
      <c r="A300" s="88" t="s">
        <v>442</v>
      </c>
      <c r="B300" s="88" t="s">
        <v>278</v>
      </c>
      <c r="C300" s="88" t="b">
        <v>0</v>
      </c>
      <c r="D300" s="88" t="s">
        <v>236</v>
      </c>
      <c r="E300" s="88" t="s">
        <v>237</v>
      </c>
      <c r="F300" s="41" t="s">
        <v>480</v>
      </c>
      <c r="G300" s="89">
        <v>9.6969708499628951E-2</v>
      </c>
      <c r="H300" s="89">
        <v>125.43903480511381</v>
      </c>
      <c r="I300" s="41" t="s">
        <v>280</v>
      </c>
      <c r="J300" s="89"/>
      <c r="K300" s="89"/>
      <c r="L300" s="89"/>
      <c r="M300" s="89"/>
    </row>
    <row r="301" spans="1:13">
      <c r="A301" s="88" t="s">
        <v>442</v>
      </c>
      <c r="B301" s="88" t="s">
        <v>278</v>
      </c>
      <c r="C301" s="88" t="b">
        <v>1</v>
      </c>
      <c r="D301" s="88" t="s">
        <v>236</v>
      </c>
      <c r="E301" s="88" t="s">
        <v>237</v>
      </c>
      <c r="F301" s="41" t="s">
        <v>481</v>
      </c>
      <c r="G301" s="89">
        <v>9.2413837110535371E-2</v>
      </c>
      <c r="H301" s="89">
        <v>125.95713807539211</v>
      </c>
      <c r="I301" s="41" t="s">
        <v>280</v>
      </c>
      <c r="J301" s="89"/>
      <c r="K301" s="89"/>
      <c r="L301" s="89"/>
      <c r="M301" s="89"/>
    </row>
    <row r="302" spans="1:13">
      <c r="A302" s="88" t="s">
        <v>442</v>
      </c>
      <c r="B302" s="88" t="s">
        <v>278</v>
      </c>
      <c r="C302" s="88" t="b">
        <v>0</v>
      </c>
      <c r="D302" s="88" t="s">
        <v>236</v>
      </c>
      <c r="E302" s="88" t="s">
        <v>241</v>
      </c>
      <c r="F302" s="41" t="s">
        <v>482</v>
      </c>
      <c r="G302" s="89">
        <v>0.42428928122617654</v>
      </c>
      <c r="H302" s="89">
        <v>82.656763157871538</v>
      </c>
      <c r="I302" s="41" t="s">
        <v>280</v>
      </c>
      <c r="J302" s="89"/>
      <c r="K302" s="89"/>
      <c r="L302" s="89"/>
      <c r="M302" s="89"/>
    </row>
    <row r="303" spans="1:13">
      <c r="A303" s="88" t="s">
        <v>442</v>
      </c>
      <c r="B303" s="88" t="s">
        <v>278</v>
      </c>
      <c r="C303" s="88" t="b">
        <v>1</v>
      </c>
      <c r="D303" s="88" t="s">
        <v>236</v>
      </c>
      <c r="E303" s="88" t="s">
        <v>241</v>
      </c>
      <c r="F303" s="41" t="s">
        <v>483</v>
      </c>
      <c r="G303" s="89">
        <v>0.38431525653929649</v>
      </c>
      <c r="H303" s="89">
        <v>79.559096513400618</v>
      </c>
      <c r="I303" s="41" t="s">
        <v>280</v>
      </c>
      <c r="J303" s="89"/>
      <c r="K303" s="89"/>
      <c r="L303" s="89"/>
      <c r="M303" s="89"/>
    </row>
    <row r="304" spans="1:13">
      <c r="A304" s="88" t="s">
        <v>442</v>
      </c>
      <c r="B304" s="88" t="s">
        <v>278</v>
      </c>
      <c r="C304" s="88" t="b">
        <v>0</v>
      </c>
      <c r="D304" s="88" t="s">
        <v>236</v>
      </c>
      <c r="E304" s="88" t="s">
        <v>244</v>
      </c>
      <c r="F304" s="41" t="s">
        <v>484</v>
      </c>
      <c r="G304" s="89">
        <v>0.67658223460240829</v>
      </c>
      <c r="H304" s="89">
        <v>79.379459018157746</v>
      </c>
      <c r="I304" s="41" t="s">
        <v>280</v>
      </c>
      <c r="J304" s="89"/>
      <c r="K304" s="89"/>
      <c r="L304" s="89"/>
      <c r="M304" s="89"/>
    </row>
    <row r="305" spans="1:13">
      <c r="A305" s="88" t="s">
        <v>442</v>
      </c>
      <c r="B305" s="88" t="s">
        <v>278</v>
      </c>
      <c r="C305" s="88" t="b">
        <v>1</v>
      </c>
      <c r="D305" s="88" t="s">
        <v>236</v>
      </c>
      <c r="E305" s="88" t="s">
        <v>244</v>
      </c>
      <c r="F305" s="41" t="s">
        <v>485</v>
      </c>
      <c r="G305" s="89">
        <v>0.61844677640115064</v>
      </c>
      <c r="H305" s="89">
        <v>74.679582555530487</v>
      </c>
      <c r="I305" s="41" t="s">
        <v>280</v>
      </c>
      <c r="J305" s="89"/>
      <c r="K305" s="89"/>
      <c r="L305" s="89"/>
      <c r="M305" s="89"/>
    </row>
    <row r="306" spans="1:13">
      <c r="A306" s="88" t="s">
        <v>442</v>
      </c>
      <c r="B306" s="88" t="s">
        <v>278</v>
      </c>
      <c r="C306" s="88" t="b">
        <v>1</v>
      </c>
      <c r="D306" s="88" t="s">
        <v>247</v>
      </c>
      <c r="E306" s="88" t="s">
        <v>237</v>
      </c>
      <c r="F306" s="41" t="s">
        <v>486</v>
      </c>
      <c r="G306" s="89">
        <v>0.23061844066467541</v>
      </c>
      <c r="H306" s="89">
        <v>147.89606875570908</v>
      </c>
      <c r="I306" s="41" t="s">
        <v>286</v>
      </c>
      <c r="J306" s="89"/>
      <c r="K306" s="89"/>
      <c r="L306" s="89"/>
      <c r="M306" s="89"/>
    </row>
    <row r="307" spans="1:13">
      <c r="A307" s="88" t="s">
        <v>442</v>
      </c>
      <c r="B307" s="88" t="s">
        <v>278</v>
      </c>
      <c r="C307" s="88" t="b">
        <v>0</v>
      </c>
      <c r="D307" s="88" t="s">
        <v>247</v>
      </c>
      <c r="E307" s="88" t="s">
        <v>241</v>
      </c>
      <c r="F307" s="41" t="s">
        <v>487</v>
      </c>
      <c r="G307" s="89">
        <v>0.82205532078489252</v>
      </c>
      <c r="H307" s="89">
        <v>101.80215885805723</v>
      </c>
      <c r="I307" s="41" t="s">
        <v>286</v>
      </c>
      <c r="J307" s="89"/>
      <c r="K307" s="89"/>
      <c r="L307" s="89"/>
      <c r="M307" s="89"/>
    </row>
    <row r="308" spans="1:13">
      <c r="A308" s="88" t="s">
        <v>442</v>
      </c>
      <c r="B308" s="88" t="s">
        <v>278</v>
      </c>
      <c r="C308" s="88" t="b">
        <v>1</v>
      </c>
      <c r="D308" s="88" t="s">
        <v>247</v>
      </c>
      <c r="E308" s="88" t="s">
        <v>241</v>
      </c>
      <c r="F308" s="41" t="s">
        <v>488</v>
      </c>
      <c r="G308" s="89">
        <v>0.77423886513603679</v>
      </c>
      <c r="H308" s="89">
        <v>97.809819565851697</v>
      </c>
      <c r="I308" s="41" t="s">
        <v>286</v>
      </c>
      <c r="J308" s="89"/>
      <c r="K308" s="89"/>
      <c r="L308" s="89"/>
      <c r="M308" s="89"/>
    </row>
    <row r="309" spans="1:13">
      <c r="A309" s="88" t="s">
        <v>442</v>
      </c>
      <c r="B309" s="88" t="s">
        <v>278</v>
      </c>
      <c r="C309" s="88" t="b">
        <v>0</v>
      </c>
      <c r="D309" s="88" t="s">
        <v>247</v>
      </c>
      <c r="E309" s="88" t="s">
        <v>244</v>
      </c>
      <c r="F309" s="41" t="s">
        <v>489</v>
      </c>
      <c r="G309" s="89">
        <v>1.1236056717730187</v>
      </c>
      <c r="H309" s="89">
        <v>86.473872679138182</v>
      </c>
      <c r="I309" s="41" t="s">
        <v>286</v>
      </c>
      <c r="J309" s="89"/>
      <c r="K309" s="89"/>
      <c r="L309" s="89"/>
      <c r="M309" s="89"/>
    </row>
    <row r="310" spans="1:13">
      <c r="A310" s="88" t="s">
        <v>442</v>
      </c>
      <c r="B310" s="88" t="s">
        <v>278</v>
      </c>
      <c r="C310" s="88" t="b">
        <v>1</v>
      </c>
      <c r="D310" s="88" t="s">
        <v>247</v>
      </c>
      <c r="E310" s="88" t="s">
        <v>244</v>
      </c>
      <c r="F310" s="41" t="s">
        <v>490</v>
      </c>
      <c r="G310" s="89">
        <v>1.0556420537443791</v>
      </c>
      <c r="H310" s="89">
        <v>80.355890168406731</v>
      </c>
      <c r="I310" s="41" t="s">
        <v>286</v>
      </c>
      <c r="J310" s="89"/>
      <c r="K310" s="89"/>
      <c r="L310" s="89"/>
      <c r="M310" s="89"/>
    </row>
    <row r="311" spans="1:13">
      <c r="A311" s="88" t="s">
        <v>442</v>
      </c>
      <c r="B311" s="88" t="s">
        <v>291</v>
      </c>
      <c r="C311" s="88" t="b">
        <v>0</v>
      </c>
      <c r="D311" s="88" t="s">
        <v>236</v>
      </c>
      <c r="E311" s="88" t="s">
        <v>237</v>
      </c>
      <c r="F311" s="41" t="s">
        <v>491</v>
      </c>
      <c r="G311" s="89">
        <v>0.17506950079083972</v>
      </c>
      <c r="H311" s="89">
        <v>243.02797893132748</v>
      </c>
      <c r="I311" s="41" t="s">
        <v>293</v>
      </c>
      <c r="J311" s="89"/>
      <c r="K311" s="89"/>
      <c r="L311" s="89"/>
      <c r="M311" s="89"/>
    </row>
    <row r="312" spans="1:13">
      <c r="A312" s="88" t="s">
        <v>442</v>
      </c>
      <c r="B312" s="88" t="s">
        <v>291</v>
      </c>
      <c r="C312" s="88" t="b">
        <v>1</v>
      </c>
      <c r="D312" s="88" t="s">
        <v>236</v>
      </c>
      <c r="E312" s="88" t="s">
        <v>237</v>
      </c>
      <c r="F312" s="41" t="s">
        <v>492</v>
      </c>
      <c r="G312" s="89">
        <v>0.16955585041499333</v>
      </c>
      <c r="H312" s="89">
        <v>244.3005797163319</v>
      </c>
      <c r="I312" s="41" t="s">
        <v>293</v>
      </c>
      <c r="J312" s="89"/>
      <c r="K312" s="89"/>
      <c r="L312" s="89"/>
      <c r="M312" s="89"/>
    </row>
    <row r="313" spans="1:13">
      <c r="A313" s="88" t="s">
        <v>442</v>
      </c>
      <c r="B313" s="88" t="s">
        <v>291</v>
      </c>
      <c r="C313" s="88" t="b">
        <v>0</v>
      </c>
      <c r="D313" s="88" t="s">
        <v>236</v>
      </c>
      <c r="E313" s="88" t="s">
        <v>241</v>
      </c>
      <c r="F313" s="41" t="s">
        <v>493</v>
      </c>
      <c r="G313" s="89">
        <v>0.43249963450016371</v>
      </c>
      <c r="H313" s="89">
        <v>157.4770943636982</v>
      </c>
      <c r="I313" s="41" t="s">
        <v>293</v>
      </c>
      <c r="J313" s="89"/>
      <c r="K313" s="89"/>
      <c r="L313" s="89"/>
      <c r="M313" s="89"/>
    </row>
    <row r="314" spans="1:13">
      <c r="A314" s="88" t="s">
        <v>442</v>
      </c>
      <c r="B314" s="88" t="s">
        <v>291</v>
      </c>
      <c r="C314" s="88" t="b">
        <v>1</v>
      </c>
      <c r="D314" s="88" t="s">
        <v>236</v>
      </c>
      <c r="E314" s="88" t="s">
        <v>241</v>
      </c>
      <c r="F314" s="41" t="s">
        <v>494</v>
      </c>
      <c r="G314" s="89">
        <v>0.4008357066957457</v>
      </c>
      <c r="H314" s="89">
        <v>151.25633036931544</v>
      </c>
      <c r="I314" s="41" t="s">
        <v>293</v>
      </c>
      <c r="J314" s="89"/>
      <c r="K314" s="89"/>
      <c r="L314" s="89"/>
      <c r="M314" s="89"/>
    </row>
    <row r="315" spans="1:13">
      <c r="A315" s="88" t="s">
        <v>442</v>
      </c>
      <c r="B315" s="88" t="s">
        <v>291</v>
      </c>
      <c r="C315" s="88" t="b">
        <v>0</v>
      </c>
      <c r="D315" s="88" t="s">
        <v>236</v>
      </c>
      <c r="E315" s="88" t="s">
        <v>244</v>
      </c>
      <c r="F315" s="41" t="s">
        <v>495</v>
      </c>
      <c r="G315" s="89">
        <v>0.75101354602321391</v>
      </c>
      <c r="H315" s="89">
        <v>147.40974901526289</v>
      </c>
      <c r="I315" s="41" t="s">
        <v>293</v>
      </c>
      <c r="J315" s="89"/>
      <c r="K315" s="89"/>
      <c r="L315" s="89"/>
      <c r="M315" s="89"/>
    </row>
    <row r="316" spans="1:13">
      <c r="A316" s="88" t="s">
        <v>442</v>
      </c>
      <c r="B316" s="88" t="s">
        <v>291</v>
      </c>
      <c r="C316" s="88" t="b">
        <v>1</v>
      </c>
      <c r="D316" s="88" t="s">
        <v>236</v>
      </c>
      <c r="E316" s="88" t="s">
        <v>244</v>
      </c>
      <c r="F316" s="41" t="s">
        <v>496</v>
      </c>
      <c r="G316" s="89">
        <v>0.70757099267580759</v>
      </c>
      <c r="H316" s="89">
        <v>138.11303624046081</v>
      </c>
      <c r="I316" s="41" t="s">
        <v>293</v>
      </c>
      <c r="J316" s="89"/>
      <c r="K316" s="89"/>
      <c r="L316" s="89"/>
      <c r="M316" s="89"/>
    </row>
    <row r="317" spans="1:13">
      <c r="A317" s="88" t="s">
        <v>442</v>
      </c>
      <c r="B317" s="88" t="s">
        <v>291</v>
      </c>
      <c r="C317" s="88" t="b">
        <v>1</v>
      </c>
      <c r="D317" s="88" t="s">
        <v>247</v>
      </c>
      <c r="E317" s="88" t="s">
        <v>237</v>
      </c>
      <c r="F317" s="41" t="s">
        <v>497</v>
      </c>
      <c r="G317" s="89">
        <v>0.3652024993944144</v>
      </c>
      <c r="H317" s="89">
        <v>287.23049226905482</v>
      </c>
      <c r="I317" s="41" t="s">
        <v>298</v>
      </c>
      <c r="J317" s="89"/>
      <c r="K317" s="89"/>
      <c r="L317" s="89"/>
      <c r="M317" s="89"/>
    </row>
    <row r="318" spans="1:13">
      <c r="A318" s="88" t="s">
        <v>442</v>
      </c>
      <c r="B318" s="88" t="s">
        <v>291</v>
      </c>
      <c r="C318" s="88" t="b">
        <v>0</v>
      </c>
      <c r="D318" s="88" t="s">
        <v>247</v>
      </c>
      <c r="E318" s="88" t="s">
        <v>241</v>
      </c>
      <c r="F318" s="41" t="s">
        <v>498</v>
      </c>
      <c r="G318" s="89">
        <v>0.84654672919283169</v>
      </c>
      <c r="H318" s="89">
        <v>195.02956128141156</v>
      </c>
      <c r="I318" s="41" t="s">
        <v>298</v>
      </c>
      <c r="J318" s="89"/>
      <c r="K318" s="89"/>
      <c r="L318" s="89"/>
      <c r="M318" s="89"/>
    </row>
    <row r="319" spans="1:13">
      <c r="A319" s="88" t="s">
        <v>442</v>
      </c>
      <c r="B319" s="88" t="s">
        <v>291</v>
      </c>
      <c r="C319" s="88" t="b">
        <v>1</v>
      </c>
      <c r="D319" s="88" t="s">
        <v>247</v>
      </c>
      <c r="E319" s="88" t="s">
        <v>241</v>
      </c>
      <c r="F319" s="41" t="s">
        <v>499</v>
      </c>
      <c r="G319" s="89">
        <v>0.80033229835342556</v>
      </c>
      <c r="H319" s="89">
        <v>187.03490469131836</v>
      </c>
      <c r="I319" s="41" t="s">
        <v>298</v>
      </c>
      <c r="J319" s="89"/>
      <c r="K319" s="89"/>
      <c r="L319" s="89"/>
      <c r="M319" s="89"/>
    </row>
    <row r="320" spans="1:13">
      <c r="A320" s="88" t="s">
        <v>442</v>
      </c>
      <c r="B320" s="88" t="s">
        <v>291</v>
      </c>
      <c r="C320" s="88" t="b">
        <v>0</v>
      </c>
      <c r="D320" s="88" t="s">
        <v>247</v>
      </c>
      <c r="E320" s="88" t="s">
        <v>244</v>
      </c>
      <c r="F320" s="41" t="s">
        <v>500</v>
      </c>
      <c r="G320" s="89">
        <v>1.2585719752733295</v>
      </c>
      <c r="H320" s="89">
        <v>160.53763032540837</v>
      </c>
      <c r="I320" s="41" t="s">
        <v>298</v>
      </c>
      <c r="J320" s="89"/>
      <c r="K320" s="89"/>
      <c r="L320" s="89"/>
      <c r="M320" s="89"/>
    </row>
    <row r="321" spans="1:13">
      <c r="A321" s="88" t="s">
        <v>442</v>
      </c>
      <c r="B321" s="88" t="s">
        <v>291</v>
      </c>
      <c r="C321" s="88" t="b">
        <v>1</v>
      </c>
      <c r="D321" s="88" t="s">
        <v>247</v>
      </c>
      <c r="E321" s="88" t="s">
        <v>244</v>
      </c>
      <c r="F321" s="41" t="s">
        <v>501</v>
      </c>
      <c r="G321" s="89">
        <v>1.1957716881029843</v>
      </c>
      <c r="H321" s="89">
        <v>148.52662184728396</v>
      </c>
      <c r="I321" s="41" t="s">
        <v>298</v>
      </c>
      <c r="J321" s="89"/>
      <c r="K321" s="89"/>
      <c r="L321" s="89"/>
      <c r="M321" s="89"/>
    </row>
    <row r="322" spans="1:13">
      <c r="A322" s="88" t="s">
        <v>442</v>
      </c>
      <c r="B322" s="88" t="s">
        <v>303</v>
      </c>
      <c r="C322" s="88" t="b">
        <v>1</v>
      </c>
      <c r="D322" s="88" t="s">
        <v>236</v>
      </c>
      <c r="E322" s="88" t="s">
        <v>237</v>
      </c>
      <c r="F322" s="41" t="s">
        <v>502</v>
      </c>
      <c r="G322" s="89">
        <v>0.13977191349042906</v>
      </c>
      <c r="H322" s="89">
        <v>35.87048767975147</v>
      </c>
      <c r="I322" s="41" t="s">
        <v>305</v>
      </c>
      <c r="J322" s="89"/>
      <c r="K322" s="89"/>
      <c r="L322" s="89"/>
      <c r="M322" s="89"/>
    </row>
    <row r="323" spans="1:13">
      <c r="A323" s="88" t="s">
        <v>442</v>
      </c>
      <c r="B323" s="88" t="s">
        <v>303</v>
      </c>
      <c r="C323" s="88" t="b">
        <v>0</v>
      </c>
      <c r="D323" s="88" t="s">
        <v>236</v>
      </c>
      <c r="E323" s="88" t="s">
        <v>241</v>
      </c>
      <c r="F323" s="41" t="s">
        <v>503</v>
      </c>
      <c r="G323" s="89">
        <v>0.28342886312456061</v>
      </c>
      <c r="H323" s="89">
        <v>24.349378790611546</v>
      </c>
      <c r="I323" s="41" t="s">
        <v>305</v>
      </c>
      <c r="J323" s="89"/>
      <c r="K323" s="89"/>
      <c r="L323" s="89"/>
      <c r="M323" s="89"/>
    </row>
    <row r="324" spans="1:13">
      <c r="A324" s="88" t="s">
        <v>442</v>
      </c>
      <c r="B324" s="88" t="s">
        <v>303</v>
      </c>
      <c r="C324" s="88" t="b">
        <v>1</v>
      </c>
      <c r="D324" s="88" t="s">
        <v>236</v>
      </c>
      <c r="E324" s="88" t="s">
        <v>241</v>
      </c>
      <c r="F324" s="41" t="s">
        <v>504</v>
      </c>
      <c r="G324" s="89">
        <v>0.28052427408798419</v>
      </c>
      <c r="H324" s="89">
        <v>24.091171078133755</v>
      </c>
      <c r="I324" s="41" t="s">
        <v>305</v>
      </c>
      <c r="J324" s="89"/>
      <c r="K324" s="89"/>
      <c r="L324" s="89"/>
      <c r="M324" s="89"/>
    </row>
    <row r="325" spans="1:13">
      <c r="A325" s="88" t="s">
        <v>442</v>
      </c>
      <c r="B325" s="88" t="s">
        <v>303</v>
      </c>
      <c r="C325" s="88" t="b">
        <v>0</v>
      </c>
      <c r="D325" s="88" t="s">
        <v>236</v>
      </c>
      <c r="E325" s="88" t="s">
        <v>244</v>
      </c>
      <c r="F325" s="41" t="s">
        <v>505</v>
      </c>
      <c r="G325" s="89">
        <v>0.90472066591877964</v>
      </c>
      <c r="H325" s="89">
        <v>19.431341706673422</v>
      </c>
      <c r="I325" s="41" t="s">
        <v>305</v>
      </c>
      <c r="J325" s="89"/>
      <c r="K325" s="89"/>
      <c r="L325" s="89"/>
      <c r="M325" s="89"/>
    </row>
    <row r="326" spans="1:13">
      <c r="A326" s="88" t="s">
        <v>442</v>
      </c>
      <c r="B326" s="88" t="s">
        <v>303</v>
      </c>
      <c r="C326" s="88" t="b">
        <v>1</v>
      </c>
      <c r="D326" s="88" t="s">
        <v>236</v>
      </c>
      <c r="E326" s="88" t="s">
        <v>244</v>
      </c>
      <c r="F326" s="41" t="s">
        <v>506</v>
      </c>
      <c r="G326" s="89">
        <v>0.87745708676335987</v>
      </c>
      <c r="H326" s="89">
        <v>19.062506533369426</v>
      </c>
      <c r="I326" s="41" t="s">
        <v>305</v>
      </c>
      <c r="J326" s="89"/>
      <c r="K326" s="89"/>
      <c r="L326" s="89"/>
      <c r="M326" s="89"/>
    </row>
    <row r="327" spans="1:13">
      <c r="A327" s="88" t="s">
        <v>442</v>
      </c>
      <c r="B327" s="88" t="s">
        <v>303</v>
      </c>
      <c r="C327" s="88" t="b">
        <v>1</v>
      </c>
      <c r="D327" s="88" t="s">
        <v>247</v>
      </c>
      <c r="E327" s="88" t="s">
        <v>244</v>
      </c>
      <c r="F327" s="41" t="s">
        <v>507</v>
      </c>
      <c r="G327" s="89">
        <v>1.3119508440549619</v>
      </c>
      <c r="H327" s="89">
        <v>22.543863316036074</v>
      </c>
      <c r="I327" s="41" t="s">
        <v>310</v>
      </c>
      <c r="J327" s="89"/>
      <c r="K327" s="89"/>
      <c r="L327" s="89"/>
      <c r="M327" s="89"/>
    </row>
    <row r="328" spans="1:13">
      <c r="A328" s="88" t="s">
        <v>442</v>
      </c>
      <c r="B328" s="88" t="s">
        <v>314</v>
      </c>
      <c r="C328" s="88" t="b">
        <v>0</v>
      </c>
      <c r="D328" s="88" t="s">
        <v>236</v>
      </c>
      <c r="E328" s="88" t="s">
        <v>237</v>
      </c>
      <c r="F328" s="41" t="s">
        <v>508</v>
      </c>
      <c r="G328" s="89">
        <v>9.3136332121087309E-2</v>
      </c>
      <c r="H328" s="89">
        <v>16.419057589967426</v>
      </c>
      <c r="I328" s="41" t="s">
        <v>316</v>
      </c>
      <c r="J328" s="89"/>
      <c r="K328" s="89"/>
      <c r="L328" s="89"/>
      <c r="M328" s="89"/>
    </row>
    <row r="329" spans="1:13">
      <c r="A329" s="88" t="s">
        <v>442</v>
      </c>
      <c r="B329" s="88" t="s">
        <v>314</v>
      </c>
      <c r="C329" s="88" t="b">
        <v>1</v>
      </c>
      <c r="D329" s="88" t="s">
        <v>236</v>
      </c>
      <c r="E329" s="88" t="s">
        <v>237</v>
      </c>
      <c r="F329" s="41" t="s">
        <v>509</v>
      </c>
      <c r="G329" s="89">
        <v>9.3136099290159508E-2</v>
      </c>
      <c r="H329" s="89">
        <v>16.296576358977099</v>
      </c>
      <c r="I329" s="41" t="s">
        <v>316</v>
      </c>
      <c r="J329" s="89"/>
      <c r="K329" s="89"/>
      <c r="L329" s="89"/>
      <c r="M329" s="89"/>
    </row>
    <row r="330" spans="1:13">
      <c r="A330" s="88" t="s">
        <v>442</v>
      </c>
      <c r="B330" s="88" t="s">
        <v>314</v>
      </c>
      <c r="C330" s="88" t="b">
        <v>0</v>
      </c>
      <c r="D330" s="88" t="s">
        <v>236</v>
      </c>
      <c r="E330" s="88" t="s">
        <v>241</v>
      </c>
      <c r="F330" s="41" t="s">
        <v>510</v>
      </c>
      <c r="G330" s="89">
        <v>0.14543293135750152</v>
      </c>
      <c r="H330" s="89">
        <v>11.199956953286136</v>
      </c>
      <c r="I330" s="41" t="s">
        <v>316</v>
      </c>
      <c r="J330" s="89"/>
      <c r="K330" s="89"/>
      <c r="L330" s="89"/>
      <c r="M330" s="89"/>
    </row>
    <row r="331" spans="1:13">
      <c r="A331" s="88" t="s">
        <v>442</v>
      </c>
      <c r="B331" s="88" t="s">
        <v>314</v>
      </c>
      <c r="C331" s="88" t="b">
        <v>1</v>
      </c>
      <c r="D331" s="88" t="s">
        <v>236</v>
      </c>
      <c r="E331" s="88" t="s">
        <v>241</v>
      </c>
      <c r="F331" s="41" t="s">
        <v>511</v>
      </c>
      <c r="G331" s="89">
        <v>0.14543258019635891</v>
      </c>
      <c r="H331" s="89">
        <v>11.120800080541583</v>
      </c>
      <c r="I331" s="41" t="s">
        <v>316</v>
      </c>
      <c r="J331" s="89"/>
      <c r="K331" s="89"/>
      <c r="L331" s="89"/>
      <c r="M331" s="89"/>
    </row>
    <row r="332" spans="1:13">
      <c r="A332" s="88" t="s">
        <v>442</v>
      </c>
      <c r="B332" s="88" t="s">
        <v>314</v>
      </c>
      <c r="C332" s="88" t="b">
        <v>0</v>
      </c>
      <c r="D332" s="88" t="s">
        <v>236</v>
      </c>
      <c r="E332" s="88" t="s">
        <v>244</v>
      </c>
      <c r="F332" s="41" t="s">
        <v>512</v>
      </c>
      <c r="G332" s="89">
        <v>0.50169301677469647</v>
      </c>
      <c r="H332" s="89">
        <v>9.6763117930086295</v>
      </c>
      <c r="I332" s="41" t="s">
        <v>316</v>
      </c>
      <c r="J332" s="89"/>
      <c r="K332" s="89"/>
      <c r="L332" s="89"/>
      <c r="M332" s="89"/>
    </row>
    <row r="333" spans="1:13">
      <c r="A333" s="88" t="s">
        <v>442</v>
      </c>
      <c r="B333" s="88" t="s">
        <v>314</v>
      </c>
      <c r="C333" s="88" t="b">
        <v>1</v>
      </c>
      <c r="D333" s="88" t="s">
        <v>236</v>
      </c>
      <c r="E333" s="88" t="s">
        <v>244</v>
      </c>
      <c r="F333" s="41" t="s">
        <v>513</v>
      </c>
      <c r="G333" s="89">
        <v>0.50166014091620637</v>
      </c>
      <c r="H333" s="89">
        <v>9.6487446959599641</v>
      </c>
      <c r="I333" s="41" t="s">
        <v>316</v>
      </c>
      <c r="J333" s="89"/>
      <c r="K333" s="89"/>
      <c r="L333" s="89"/>
      <c r="M333" s="89"/>
    </row>
    <row r="334" spans="1:13">
      <c r="A334" s="88" t="s">
        <v>442</v>
      </c>
      <c r="B334" s="88" t="s">
        <v>314</v>
      </c>
      <c r="C334" s="88" t="b">
        <v>1</v>
      </c>
      <c r="D334" s="88" t="s">
        <v>247</v>
      </c>
      <c r="E334" s="88" t="s">
        <v>237</v>
      </c>
      <c r="F334" s="41" t="s">
        <v>514</v>
      </c>
      <c r="G334" s="89">
        <v>0.15627312053577599</v>
      </c>
      <c r="H334" s="89">
        <v>22.387648706618574</v>
      </c>
      <c r="I334" s="41" t="s">
        <v>322</v>
      </c>
      <c r="J334" s="89"/>
      <c r="K334" s="89"/>
      <c r="L334" s="89"/>
      <c r="M334" s="89"/>
    </row>
    <row r="335" spans="1:13">
      <c r="A335" s="88" t="s">
        <v>442</v>
      </c>
      <c r="B335" s="88" t="s">
        <v>314</v>
      </c>
      <c r="C335" s="88" t="b">
        <v>0</v>
      </c>
      <c r="D335" s="88" t="s">
        <v>247</v>
      </c>
      <c r="E335" s="88" t="s">
        <v>241</v>
      </c>
      <c r="F335" s="41" t="s">
        <v>515</v>
      </c>
      <c r="G335" s="89">
        <v>0.25403586624276359</v>
      </c>
      <c r="H335" s="89">
        <v>17.588609972551009</v>
      </c>
      <c r="I335" s="41" t="s">
        <v>322</v>
      </c>
      <c r="J335" s="89"/>
      <c r="K335" s="89"/>
      <c r="L335" s="89"/>
      <c r="M335" s="89"/>
    </row>
    <row r="336" spans="1:13">
      <c r="A336" s="88" t="s">
        <v>442</v>
      </c>
      <c r="B336" s="88" t="s">
        <v>314</v>
      </c>
      <c r="C336" s="88" t="b">
        <v>1</v>
      </c>
      <c r="D336" s="88" t="s">
        <v>247</v>
      </c>
      <c r="E336" s="88" t="s">
        <v>241</v>
      </c>
      <c r="F336" s="41" t="s">
        <v>516</v>
      </c>
      <c r="G336" s="89">
        <v>0.25403540629807997</v>
      </c>
      <c r="H336" s="89">
        <v>17.464634476426369</v>
      </c>
      <c r="I336" s="41" t="s">
        <v>322</v>
      </c>
      <c r="J336" s="89"/>
      <c r="K336" s="89"/>
      <c r="L336" s="89"/>
      <c r="M336" s="89"/>
    </row>
    <row r="337" spans="1:13">
      <c r="A337" s="88" t="s">
        <v>442</v>
      </c>
      <c r="B337" s="88" t="s">
        <v>314</v>
      </c>
      <c r="C337" s="88" t="b">
        <v>0</v>
      </c>
      <c r="D337" s="88" t="s">
        <v>247</v>
      </c>
      <c r="E337" s="88" t="s">
        <v>244</v>
      </c>
      <c r="F337" s="41" t="s">
        <v>517</v>
      </c>
      <c r="G337" s="89">
        <v>0.78475307568797692</v>
      </c>
      <c r="H337" s="89">
        <v>11.759942520238921</v>
      </c>
      <c r="I337" s="41" t="s">
        <v>322</v>
      </c>
      <c r="J337" s="89"/>
      <c r="K337" s="89"/>
      <c r="L337" s="89"/>
      <c r="M337" s="89"/>
    </row>
    <row r="338" spans="1:13">
      <c r="A338" s="88" t="s">
        <v>442</v>
      </c>
      <c r="B338" s="88" t="s">
        <v>314</v>
      </c>
      <c r="C338" s="88" t="b">
        <v>1</v>
      </c>
      <c r="D338" s="88" t="s">
        <v>247</v>
      </c>
      <c r="E338" s="88" t="s">
        <v>244</v>
      </c>
      <c r="F338" s="41" t="s">
        <v>518</v>
      </c>
      <c r="G338" s="89">
        <v>0.78471327234874022</v>
      </c>
      <c r="H338" s="89">
        <v>11.728778389425409</v>
      </c>
      <c r="I338" s="41" t="s">
        <v>322</v>
      </c>
      <c r="J338" s="89"/>
      <c r="K338" s="89"/>
      <c r="L338" s="89"/>
      <c r="M338" s="89"/>
    </row>
    <row r="339" spans="1:13">
      <c r="A339" s="88" t="s">
        <v>442</v>
      </c>
      <c r="B339" s="88" t="s">
        <v>314</v>
      </c>
      <c r="C339" s="88" t="b">
        <v>1</v>
      </c>
      <c r="D339" s="88" t="s">
        <v>399</v>
      </c>
      <c r="E339" s="88" t="s">
        <v>241</v>
      </c>
      <c r="F339" s="41" t="s">
        <v>519</v>
      </c>
      <c r="G339" s="89">
        <v>0.87418742961350626</v>
      </c>
      <c r="H339" s="89">
        <v>27.829932519994486</v>
      </c>
      <c r="I339" s="41" t="s">
        <v>435</v>
      </c>
      <c r="J339" s="89"/>
      <c r="K339" s="89"/>
      <c r="L339" s="89"/>
      <c r="M339" s="89"/>
    </row>
    <row r="340" spans="1:13">
      <c r="A340" s="88" t="s">
        <v>442</v>
      </c>
      <c r="B340" s="88" t="s">
        <v>327</v>
      </c>
      <c r="C340" s="88" t="b">
        <v>0</v>
      </c>
      <c r="D340" s="88" t="s">
        <v>236</v>
      </c>
      <c r="E340" s="88" t="s">
        <v>237</v>
      </c>
      <c r="F340" s="41" t="s">
        <v>520</v>
      </c>
      <c r="G340" s="89">
        <v>7.70854082672707E-2</v>
      </c>
      <c r="H340" s="89">
        <v>31.467383593001422</v>
      </c>
      <c r="I340" s="41" t="s">
        <v>329</v>
      </c>
      <c r="J340" s="89"/>
      <c r="K340" s="89"/>
      <c r="L340" s="89"/>
      <c r="M340" s="89"/>
    </row>
    <row r="341" spans="1:13">
      <c r="A341" s="88" t="s">
        <v>442</v>
      </c>
      <c r="B341" s="88" t="s">
        <v>327</v>
      </c>
      <c r="C341" s="88" t="b">
        <v>1</v>
      </c>
      <c r="D341" s="88" t="s">
        <v>236</v>
      </c>
      <c r="E341" s="88" t="s">
        <v>237</v>
      </c>
      <c r="F341" s="41" t="s">
        <v>521</v>
      </c>
      <c r="G341" s="89">
        <v>7.6687945925547285E-2</v>
      </c>
      <c r="H341" s="89">
        <v>31.378446874540384</v>
      </c>
      <c r="I341" s="41" t="s">
        <v>329</v>
      </c>
      <c r="J341" s="89"/>
      <c r="K341" s="89"/>
      <c r="L341" s="89"/>
      <c r="M341" s="89"/>
    </row>
    <row r="342" spans="1:13">
      <c r="A342" s="88" t="s">
        <v>442</v>
      </c>
      <c r="B342" s="88" t="s">
        <v>327</v>
      </c>
      <c r="C342" s="88" t="b">
        <v>0</v>
      </c>
      <c r="D342" s="88" t="s">
        <v>236</v>
      </c>
      <c r="E342" s="88" t="s">
        <v>241</v>
      </c>
      <c r="F342" s="41" t="s">
        <v>522</v>
      </c>
      <c r="G342" s="89">
        <v>0.3000900504465685</v>
      </c>
      <c r="H342" s="89">
        <v>21.702254419893261</v>
      </c>
      <c r="I342" s="41" t="s">
        <v>329</v>
      </c>
      <c r="J342" s="89"/>
      <c r="K342" s="89"/>
      <c r="L342" s="89"/>
      <c r="M342" s="89"/>
    </row>
    <row r="343" spans="1:13">
      <c r="A343" s="88" t="s">
        <v>442</v>
      </c>
      <c r="B343" s="88" t="s">
        <v>327</v>
      </c>
      <c r="C343" s="88" t="b">
        <v>1</v>
      </c>
      <c r="D343" s="88" t="s">
        <v>236</v>
      </c>
      <c r="E343" s="88" t="s">
        <v>241</v>
      </c>
      <c r="F343" s="41" t="s">
        <v>523</v>
      </c>
      <c r="G343" s="89">
        <v>0.29709732340348982</v>
      </c>
      <c r="H343" s="89">
        <v>21.424385442997433</v>
      </c>
      <c r="I343" s="41" t="s">
        <v>329</v>
      </c>
      <c r="J343" s="89"/>
      <c r="K343" s="89"/>
      <c r="L343" s="89"/>
      <c r="M343" s="89"/>
    </row>
    <row r="344" spans="1:13">
      <c r="A344" s="88" t="s">
        <v>442</v>
      </c>
      <c r="B344" s="88" t="s">
        <v>327</v>
      </c>
      <c r="C344" s="88" t="b">
        <v>0</v>
      </c>
      <c r="D344" s="88" t="s">
        <v>236</v>
      </c>
      <c r="E344" s="88" t="s">
        <v>244</v>
      </c>
      <c r="F344" s="41" t="s">
        <v>524</v>
      </c>
      <c r="G344" s="89">
        <v>0.60179976813747238</v>
      </c>
      <c r="H344" s="89">
        <v>21.552585749936323</v>
      </c>
      <c r="I344" s="41" t="s">
        <v>329</v>
      </c>
      <c r="J344" s="89"/>
      <c r="K344" s="89"/>
      <c r="L344" s="89"/>
      <c r="M344" s="89"/>
    </row>
    <row r="345" spans="1:13">
      <c r="A345" s="88" t="s">
        <v>442</v>
      </c>
      <c r="B345" s="88" t="s">
        <v>327</v>
      </c>
      <c r="C345" s="88" t="b">
        <v>1</v>
      </c>
      <c r="D345" s="88" t="s">
        <v>236</v>
      </c>
      <c r="E345" s="88" t="s">
        <v>244</v>
      </c>
      <c r="F345" s="41" t="s">
        <v>525</v>
      </c>
      <c r="G345" s="89">
        <v>0.59629491335518137</v>
      </c>
      <c r="H345" s="89">
        <v>21.180686114184041</v>
      </c>
      <c r="I345" s="41" t="s">
        <v>329</v>
      </c>
      <c r="J345" s="89"/>
      <c r="K345" s="89"/>
      <c r="L345" s="89"/>
      <c r="M345" s="89"/>
    </row>
    <row r="346" spans="1:13">
      <c r="A346" s="88" t="s">
        <v>442</v>
      </c>
      <c r="B346" s="88" t="s">
        <v>327</v>
      </c>
      <c r="C346" s="88" t="b">
        <v>1</v>
      </c>
      <c r="D346" s="88" t="s">
        <v>247</v>
      </c>
      <c r="E346" s="88" t="s">
        <v>237</v>
      </c>
      <c r="F346" s="41" t="s">
        <v>526</v>
      </c>
      <c r="G346" s="89">
        <v>0.18074680563787043</v>
      </c>
      <c r="H346" s="89">
        <v>38.380042119649993</v>
      </c>
      <c r="I346" s="41" t="s">
        <v>335</v>
      </c>
      <c r="J346" s="89"/>
      <c r="K346" s="89"/>
      <c r="L346" s="89"/>
      <c r="M346" s="89"/>
    </row>
    <row r="347" spans="1:13">
      <c r="A347" s="88" t="s">
        <v>442</v>
      </c>
      <c r="B347" s="88" t="s">
        <v>327</v>
      </c>
      <c r="C347" s="88" t="b">
        <v>0</v>
      </c>
      <c r="D347" s="88" t="s">
        <v>247</v>
      </c>
      <c r="E347" s="88" t="s">
        <v>241</v>
      </c>
      <c r="F347" s="41" t="s">
        <v>527</v>
      </c>
      <c r="G347" s="89">
        <v>0.61590119442900348</v>
      </c>
      <c r="H347" s="89">
        <v>28.268463718320056</v>
      </c>
      <c r="I347" s="41" t="s">
        <v>335</v>
      </c>
      <c r="J347" s="89"/>
      <c r="K347" s="89"/>
      <c r="L347" s="89"/>
      <c r="M347" s="89"/>
    </row>
    <row r="348" spans="1:13">
      <c r="A348" s="88" t="s">
        <v>442</v>
      </c>
      <c r="B348" s="88" t="s">
        <v>327</v>
      </c>
      <c r="C348" s="88" t="b">
        <v>1</v>
      </c>
      <c r="D348" s="88" t="s">
        <v>247</v>
      </c>
      <c r="E348" s="88" t="s">
        <v>241</v>
      </c>
      <c r="F348" s="41" t="s">
        <v>528</v>
      </c>
      <c r="G348" s="89">
        <v>0.61228160111017149</v>
      </c>
      <c r="H348" s="89">
        <v>27.906787804154845</v>
      </c>
      <c r="I348" s="41" t="s">
        <v>335</v>
      </c>
      <c r="J348" s="89"/>
      <c r="K348" s="89"/>
      <c r="L348" s="89"/>
      <c r="M348" s="89"/>
    </row>
    <row r="349" spans="1:13">
      <c r="A349" s="88" t="s">
        <v>442</v>
      </c>
      <c r="B349" s="88" t="s">
        <v>327</v>
      </c>
      <c r="C349" s="88" t="b">
        <v>0</v>
      </c>
      <c r="D349" s="88" t="s">
        <v>247</v>
      </c>
      <c r="E349" s="88" t="s">
        <v>244</v>
      </c>
      <c r="F349" s="41" t="s">
        <v>529</v>
      </c>
      <c r="G349" s="89">
        <v>1.0099664167078888</v>
      </c>
      <c r="H349" s="89">
        <v>23.83099403564524</v>
      </c>
      <c r="I349" s="41" t="s">
        <v>335</v>
      </c>
      <c r="J349" s="89"/>
      <c r="K349" s="89"/>
      <c r="L349" s="89"/>
      <c r="M349" s="89"/>
    </row>
    <row r="350" spans="1:13">
      <c r="A350" s="88" t="s">
        <v>442</v>
      </c>
      <c r="B350" s="88" t="s">
        <v>327</v>
      </c>
      <c r="C350" s="88" t="b">
        <v>1</v>
      </c>
      <c r="D350" s="88" t="s">
        <v>247</v>
      </c>
      <c r="E350" s="88" t="s">
        <v>244</v>
      </c>
      <c r="F350" s="41" t="s">
        <v>530</v>
      </c>
      <c r="G350" s="89">
        <v>1.0034338173314477</v>
      </c>
      <c r="H350" s="89">
        <v>23.36510323356443</v>
      </c>
      <c r="I350" s="41" t="s">
        <v>335</v>
      </c>
      <c r="J350" s="89"/>
      <c r="K350" s="89"/>
      <c r="L350" s="89"/>
      <c r="M350" s="89"/>
    </row>
    <row r="351" spans="1:13">
      <c r="A351" s="88" t="s">
        <v>442</v>
      </c>
      <c r="B351" s="88" t="s">
        <v>235</v>
      </c>
      <c r="C351" s="88" t="b">
        <v>0</v>
      </c>
      <c r="D351" s="88" t="s">
        <v>236</v>
      </c>
      <c r="E351" s="88" t="s">
        <v>237</v>
      </c>
      <c r="F351" s="41" t="s">
        <v>443</v>
      </c>
      <c r="G351" s="89">
        <v>0.17869023323683919</v>
      </c>
      <c r="H351" s="89">
        <v>77.846453000123716</v>
      </c>
      <c r="I351" s="41" t="s">
        <v>239</v>
      </c>
      <c r="J351" s="89"/>
      <c r="K351" s="89"/>
      <c r="L351" s="89"/>
      <c r="M351" s="89"/>
    </row>
    <row r="352" spans="1:13">
      <c r="A352" s="88" t="s">
        <v>442</v>
      </c>
      <c r="B352" s="88" t="s">
        <v>235</v>
      </c>
      <c r="C352" s="88" t="b">
        <v>1</v>
      </c>
      <c r="D352" s="88" t="s">
        <v>236</v>
      </c>
      <c r="E352" s="88" t="s">
        <v>237</v>
      </c>
      <c r="F352" s="41" t="s">
        <v>444</v>
      </c>
      <c r="G352" s="89">
        <v>0.1786595106255616</v>
      </c>
      <c r="H352" s="89">
        <v>77.610662984783445</v>
      </c>
      <c r="I352" s="41" t="s">
        <v>239</v>
      </c>
      <c r="J352" s="89"/>
      <c r="K352" s="89"/>
      <c r="L352" s="89"/>
      <c r="M352" s="89"/>
    </row>
    <row r="353" spans="1:13">
      <c r="A353" s="88" t="s">
        <v>442</v>
      </c>
      <c r="B353" s="88" t="s">
        <v>235</v>
      </c>
      <c r="C353" s="88" t="b">
        <v>0</v>
      </c>
      <c r="D353" s="88" t="s">
        <v>236</v>
      </c>
      <c r="E353" s="88" t="s">
        <v>241</v>
      </c>
      <c r="F353" s="41" t="s">
        <v>445</v>
      </c>
      <c r="G353" s="89">
        <v>1.0082322924428881</v>
      </c>
      <c r="H353" s="89">
        <v>56.866029265010155</v>
      </c>
      <c r="I353" s="41" t="s">
        <v>239</v>
      </c>
      <c r="J353" s="89"/>
      <c r="K353" s="89"/>
      <c r="L353" s="89"/>
      <c r="M353" s="89"/>
    </row>
    <row r="354" spans="1:13">
      <c r="A354" s="88" t="s">
        <v>442</v>
      </c>
      <c r="B354" s="88" t="s">
        <v>235</v>
      </c>
      <c r="C354" s="88" t="b">
        <v>1</v>
      </c>
      <c r="D354" s="88" t="s">
        <v>236</v>
      </c>
      <c r="E354" s="88" t="s">
        <v>241</v>
      </c>
      <c r="F354" s="41" t="s">
        <v>446</v>
      </c>
      <c r="G354" s="89">
        <v>1.0080262248104712</v>
      </c>
      <c r="H354" s="89">
        <v>56.699778293444048</v>
      </c>
      <c r="I354" s="41" t="s">
        <v>239</v>
      </c>
      <c r="J354" s="89"/>
      <c r="K354" s="89"/>
      <c r="L354" s="89"/>
      <c r="M354" s="89"/>
    </row>
    <row r="355" spans="1:13">
      <c r="A355" s="88" t="s">
        <v>442</v>
      </c>
      <c r="B355" s="88" t="s">
        <v>235</v>
      </c>
      <c r="C355" s="88" t="b">
        <v>0</v>
      </c>
      <c r="D355" s="88" t="s">
        <v>236</v>
      </c>
      <c r="E355" s="88" t="s">
        <v>244</v>
      </c>
      <c r="F355" s="41" t="s">
        <v>447</v>
      </c>
      <c r="G355" s="89">
        <v>1.6576644219532657</v>
      </c>
      <c r="H355" s="89">
        <v>60.483239346547656</v>
      </c>
      <c r="I355" s="41" t="s">
        <v>239</v>
      </c>
      <c r="J355" s="89"/>
      <c r="K355" s="89"/>
      <c r="L355" s="89"/>
      <c r="M355" s="89"/>
    </row>
    <row r="356" spans="1:13">
      <c r="A356" s="88" t="s">
        <v>442</v>
      </c>
      <c r="B356" s="88" t="s">
        <v>235</v>
      </c>
      <c r="C356" s="88" t="b">
        <v>1</v>
      </c>
      <c r="D356" s="88" t="s">
        <v>236</v>
      </c>
      <c r="E356" s="88" t="s">
        <v>244</v>
      </c>
      <c r="F356" s="41" t="s">
        <v>448</v>
      </c>
      <c r="G356" s="89">
        <v>1.6572621543897081</v>
      </c>
      <c r="H356" s="89">
        <v>60.315887342308521</v>
      </c>
      <c r="I356" s="41" t="s">
        <v>239</v>
      </c>
      <c r="J356" s="89"/>
      <c r="K356" s="89"/>
      <c r="L356" s="89"/>
      <c r="M356" s="89"/>
    </row>
    <row r="357" spans="1:13">
      <c r="A357" s="88" t="s">
        <v>442</v>
      </c>
      <c r="B357" s="88" t="s">
        <v>235</v>
      </c>
      <c r="C357" s="88" t="b">
        <v>0</v>
      </c>
      <c r="D357" s="88" t="s">
        <v>247</v>
      </c>
      <c r="E357" s="88" t="s">
        <v>237</v>
      </c>
      <c r="F357" s="41" t="s">
        <v>449</v>
      </c>
      <c r="G357" s="89">
        <v>0.5171954450578431</v>
      </c>
      <c r="H357" s="89">
        <v>92.921716954884076</v>
      </c>
      <c r="I357" s="41" t="s">
        <v>249</v>
      </c>
      <c r="J357" s="89"/>
      <c r="K357" s="89"/>
      <c r="L357" s="89"/>
      <c r="M357" s="89"/>
    </row>
    <row r="358" spans="1:13">
      <c r="A358" s="88" t="s">
        <v>442</v>
      </c>
      <c r="B358" s="88" t="s">
        <v>235</v>
      </c>
      <c r="C358" s="88" t="b">
        <v>1</v>
      </c>
      <c r="D358" s="88" t="s">
        <v>247</v>
      </c>
      <c r="E358" s="88" t="s">
        <v>237</v>
      </c>
      <c r="F358" s="41" t="s">
        <v>450</v>
      </c>
      <c r="G358" s="89">
        <v>0.51713864993076375</v>
      </c>
      <c r="H358" s="89">
        <v>92.642367632980708</v>
      </c>
      <c r="I358" s="41" t="s">
        <v>249</v>
      </c>
      <c r="J358" s="89"/>
      <c r="K358" s="89"/>
      <c r="L358" s="89"/>
      <c r="M358" s="89"/>
    </row>
    <row r="359" spans="1:13">
      <c r="A359" s="88" t="s">
        <v>442</v>
      </c>
      <c r="B359" s="88" t="s">
        <v>235</v>
      </c>
      <c r="C359" s="88" t="b">
        <v>0</v>
      </c>
      <c r="D359" s="88" t="s">
        <v>247</v>
      </c>
      <c r="E359" s="88" t="s">
        <v>241</v>
      </c>
      <c r="F359" s="41" t="s">
        <v>451</v>
      </c>
      <c r="G359" s="89">
        <v>2.1699933228558574</v>
      </c>
      <c r="H359" s="89">
        <v>70.878807206646627</v>
      </c>
      <c r="I359" s="41" t="s">
        <v>249</v>
      </c>
      <c r="J359" s="89"/>
      <c r="K359" s="89"/>
      <c r="L359" s="89"/>
      <c r="M359" s="89"/>
    </row>
    <row r="360" spans="1:13">
      <c r="A360" s="88" t="s">
        <v>442</v>
      </c>
      <c r="B360" s="88" t="s">
        <v>235</v>
      </c>
      <c r="C360" s="88" t="b">
        <v>1</v>
      </c>
      <c r="D360" s="88" t="s">
        <v>247</v>
      </c>
      <c r="E360" s="88" t="s">
        <v>241</v>
      </c>
      <c r="F360" s="41" t="s">
        <v>452</v>
      </c>
      <c r="G360" s="89">
        <v>2.1697179922680654</v>
      </c>
      <c r="H360" s="89">
        <v>70.675673390882224</v>
      </c>
      <c r="I360" s="41" t="s">
        <v>249</v>
      </c>
      <c r="J360" s="89"/>
      <c r="K360" s="89"/>
      <c r="L360" s="89"/>
      <c r="M360" s="89"/>
    </row>
    <row r="361" spans="1:13">
      <c r="A361" s="88" t="s">
        <v>442</v>
      </c>
      <c r="B361" s="88" t="s">
        <v>235</v>
      </c>
      <c r="C361" s="88" t="b">
        <v>0</v>
      </c>
      <c r="D361" s="88" t="s">
        <v>247</v>
      </c>
      <c r="E361" s="88" t="s">
        <v>244</v>
      </c>
      <c r="F361" s="41" t="s">
        <v>453</v>
      </c>
      <c r="G361" s="89">
        <v>2.9203812288229223</v>
      </c>
      <c r="H361" s="89">
        <v>66.106249777161295</v>
      </c>
      <c r="I361" s="41" t="s">
        <v>249</v>
      </c>
      <c r="J361" s="89"/>
      <c r="K361" s="89"/>
      <c r="L361" s="89"/>
      <c r="M361" s="89"/>
    </row>
    <row r="362" spans="1:13">
      <c r="A362" s="88" t="s">
        <v>442</v>
      </c>
      <c r="B362" s="88" t="s">
        <v>235</v>
      </c>
      <c r="C362" s="88" t="b">
        <v>1</v>
      </c>
      <c r="D362" s="88" t="s">
        <v>247</v>
      </c>
      <c r="E362" s="88" t="s">
        <v>244</v>
      </c>
      <c r="F362" s="41" t="s">
        <v>454</v>
      </c>
      <c r="G362" s="89">
        <v>2.9198615723810448</v>
      </c>
      <c r="H362" s="89">
        <v>65.932521021210434</v>
      </c>
      <c r="I362" s="41" t="s">
        <v>249</v>
      </c>
      <c r="J362" s="89"/>
      <c r="K362" s="89"/>
      <c r="L362" s="89"/>
      <c r="M362" s="89"/>
    </row>
    <row r="363" spans="1:13">
      <c r="A363" s="88" t="s">
        <v>442</v>
      </c>
      <c r="B363" s="88" t="s">
        <v>235</v>
      </c>
      <c r="C363" s="88" t="b">
        <v>1</v>
      </c>
      <c r="D363" s="88" t="s">
        <v>399</v>
      </c>
      <c r="E363" s="88" t="s">
        <v>237</v>
      </c>
      <c r="F363" s="41" t="s">
        <v>455</v>
      </c>
      <c r="G363" s="89">
        <v>2.5271891499440993</v>
      </c>
      <c r="H363" s="89">
        <v>103.34871051120544</v>
      </c>
      <c r="I363" s="41" t="s">
        <v>401</v>
      </c>
      <c r="J363" s="89"/>
      <c r="K363" s="89"/>
      <c r="L363" s="89"/>
      <c r="M363" s="89"/>
    </row>
    <row r="364" spans="1:13">
      <c r="A364" s="88" t="s">
        <v>442</v>
      </c>
      <c r="B364" s="88" t="s">
        <v>255</v>
      </c>
      <c r="C364" s="88" t="b">
        <v>0</v>
      </c>
      <c r="D364" s="88" t="s">
        <v>236</v>
      </c>
      <c r="E364" s="88" t="s">
        <v>237</v>
      </c>
      <c r="F364" s="41" t="s">
        <v>456</v>
      </c>
      <c r="G364" s="89">
        <v>7.306322493817427E-2</v>
      </c>
      <c r="H364" s="89">
        <v>35.833035873233214</v>
      </c>
      <c r="I364" s="41" t="s">
        <v>257</v>
      </c>
      <c r="J364" s="89"/>
      <c r="K364" s="89"/>
      <c r="L364" s="89"/>
      <c r="M364" s="89"/>
    </row>
    <row r="365" spans="1:13">
      <c r="A365" s="88" t="s">
        <v>442</v>
      </c>
      <c r="B365" s="88" t="s">
        <v>255</v>
      </c>
      <c r="C365" s="88" t="b">
        <v>1</v>
      </c>
      <c r="D365" s="88" t="s">
        <v>236</v>
      </c>
      <c r="E365" s="88" t="s">
        <v>237</v>
      </c>
      <c r="F365" s="41" t="s">
        <v>457</v>
      </c>
      <c r="G365" s="89">
        <v>7.306322493817427E-2</v>
      </c>
      <c r="H365" s="89">
        <v>35.739192304043037</v>
      </c>
      <c r="I365" s="41" t="s">
        <v>257</v>
      </c>
      <c r="J365" s="89"/>
      <c r="K365" s="89"/>
      <c r="L365" s="89"/>
      <c r="M365" s="89"/>
    </row>
    <row r="366" spans="1:13">
      <c r="A366" s="88" t="s">
        <v>442</v>
      </c>
      <c r="B366" s="88" t="s">
        <v>255</v>
      </c>
      <c r="C366" s="88" t="b">
        <v>0</v>
      </c>
      <c r="D366" s="88" t="s">
        <v>236</v>
      </c>
      <c r="E366" s="88" t="s">
        <v>241</v>
      </c>
      <c r="F366" s="41" t="s">
        <v>458</v>
      </c>
      <c r="G366" s="89">
        <v>0.40242138787359016</v>
      </c>
      <c r="H366" s="89">
        <v>25.12807904154085</v>
      </c>
      <c r="I366" s="41" t="s">
        <v>257</v>
      </c>
      <c r="J366" s="89"/>
      <c r="K366" s="89"/>
      <c r="L366" s="89"/>
      <c r="M366" s="89"/>
    </row>
    <row r="367" spans="1:13">
      <c r="A367" s="88" t="s">
        <v>442</v>
      </c>
      <c r="B367" s="88" t="s">
        <v>255</v>
      </c>
      <c r="C367" s="88" t="b">
        <v>1</v>
      </c>
      <c r="D367" s="88" t="s">
        <v>236</v>
      </c>
      <c r="E367" s="88" t="s">
        <v>241</v>
      </c>
      <c r="F367" s="41" t="s">
        <v>459</v>
      </c>
      <c r="G367" s="89">
        <v>0.40242138787359016</v>
      </c>
      <c r="H367" s="89">
        <v>25.067716844696029</v>
      </c>
      <c r="I367" s="41" t="s">
        <v>257</v>
      </c>
      <c r="J367" s="89"/>
      <c r="K367" s="89"/>
      <c r="L367" s="89"/>
      <c r="M367" s="89"/>
    </row>
    <row r="368" spans="1:13">
      <c r="A368" s="88" t="s">
        <v>442</v>
      </c>
      <c r="B368" s="88" t="s">
        <v>255</v>
      </c>
      <c r="C368" s="88" t="b">
        <v>0</v>
      </c>
      <c r="D368" s="88" t="s">
        <v>236</v>
      </c>
      <c r="E368" s="88" t="s">
        <v>244</v>
      </c>
      <c r="F368" s="41" t="s">
        <v>460</v>
      </c>
      <c r="G368" s="89">
        <v>0.68597718607137981</v>
      </c>
      <c r="H368" s="89">
        <v>26.124648594182958</v>
      </c>
      <c r="I368" s="41" t="s">
        <v>257</v>
      </c>
      <c r="J368" s="89"/>
      <c r="K368" s="89"/>
      <c r="L368" s="89"/>
      <c r="M368" s="89"/>
    </row>
    <row r="369" spans="1:14">
      <c r="A369" s="88" t="s">
        <v>442</v>
      </c>
      <c r="B369" s="88" t="s">
        <v>255</v>
      </c>
      <c r="C369" s="88" t="b">
        <v>1</v>
      </c>
      <c r="D369" s="88" t="s">
        <v>236</v>
      </c>
      <c r="E369" s="88" t="s">
        <v>244</v>
      </c>
      <c r="F369" s="41" t="s">
        <v>461</v>
      </c>
      <c r="G369" s="89">
        <v>0.68597718607137981</v>
      </c>
      <c r="H369" s="89">
        <v>26.06652811703314</v>
      </c>
      <c r="I369" s="41" t="s">
        <v>257</v>
      </c>
      <c r="J369" s="89"/>
      <c r="K369" s="89"/>
      <c r="L369" s="89"/>
      <c r="M369" s="89"/>
    </row>
    <row r="370" spans="1:14">
      <c r="A370" s="88" t="s">
        <v>442</v>
      </c>
      <c r="B370" s="88" t="s">
        <v>255</v>
      </c>
      <c r="C370" s="88" t="b">
        <v>0</v>
      </c>
      <c r="D370" s="88" t="s">
        <v>247</v>
      </c>
      <c r="E370" s="88" t="s">
        <v>237</v>
      </c>
      <c r="F370" s="41" t="s">
        <v>462</v>
      </c>
      <c r="G370" s="89">
        <v>0.20748401186788407</v>
      </c>
      <c r="H370" s="89">
        <v>42.592554344921965</v>
      </c>
      <c r="I370" s="41" t="s">
        <v>263</v>
      </c>
      <c r="J370" s="89"/>
      <c r="K370" s="89"/>
      <c r="L370" s="89"/>
      <c r="M370" s="89"/>
    </row>
    <row r="371" spans="1:14">
      <c r="A371" s="88" t="s">
        <v>442</v>
      </c>
      <c r="B371" s="88" t="s">
        <v>255</v>
      </c>
      <c r="C371" s="88" t="b">
        <v>1</v>
      </c>
      <c r="D371" s="88" t="s">
        <v>247</v>
      </c>
      <c r="E371" s="88" t="s">
        <v>237</v>
      </c>
      <c r="F371" s="41" t="s">
        <v>463</v>
      </c>
      <c r="G371" s="89">
        <v>0.20748401186788407</v>
      </c>
      <c r="H371" s="89">
        <v>42.482152551195178</v>
      </c>
      <c r="I371" s="41" t="s">
        <v>263</v>
      </c>
      <c r="J371" s="89"/>
      <c r="K371" s="89"/>
      <c r="L371" s="89"/>
      <c r="M371" s="89"/>
    </row>
    <row r="372" spans="1:14">
      <c r="A372" s="88" t="s">
        <v>442</v>
      </c>
      <c r="B372" s="88" t="s">
        <v>255</v>
      </c>
      <c r="C372" s="88" t="b">
        <v>0</v>
      </c>
      <c r="D372" s="88" t="s">
        <v>247</v>
      </c>
      <c r="E372" s="88" t="s">
        <v>241</v>
      </c>
      <c r="F372" s="41" t="s">
        <v>464</v>
      </c>
      <c r="G372" s="89">
        <v>0.84058087771565992</v>
      </c>
      <c r="H372" s="89">
        <v>31.026178397506875</v>
      </c>
      <c r="I372" s="41" t="s">
        <v>263</v>
      </c>
      <c r="J372" s="89"/>
      <c r="K372" s="89"/>
      <c r="L372" s="89"/>
      <c r="M372" s="89"/>
    </row>
    <row r="373" spans="1:14">
      <c r="A373" s="88" t="s">
        <v>442</v>
      </c>
      <c r="B373" s="88" t="s">
        <v>255</v>
      </c>
      <c r="C373" s="88" t="b">
        <v>1</v>
      </c>
      <c r="D373" s="88" t="s">
        <v>247</v>
      </c>
      <c r="E373" s="88" t="s">
        <v>241</v>
      </c>
      <c r="F373" s="41" t="s">
        <v>465</v>
      </c>
      <c r="G373" s="89">
        <v>0.84058087771565992</v>
      </c>
      <c r="H373" s="89">
        <v>30.953335614752376</v>
      </c>
      <c r="I373" s="41" t="s">
        <v>263</v>
      </c>
      <c r="J373" s="89"/>
      <c r="K373" s="89"/>
      <c r="L373" s="89"/>
      <c r="M373" s="89"/>
    </row>
    <row r="374" spans="1:14">
      <c r="A374" s="88" t="s">
        <v>442</v>
      </c>
      <c r="B374" s="88" t="s">
        <v>255</v>
      </c>
      <c r="C374" s="88" t="b">
        <v>0</v>
      </c>
      <c r="D374" s="88" t="s">
        <v>247</v>
      </c>
      <c r="E374" s="88" t="s">
        <v>244</v>
      </c>
      <c r="F374" s="41" t="s">
        <v>466</v>
      </c>
      <c r="G374" s="89">
        <v>1.176592825847266</v>
      </c>
      <c r="H374" s="89">
        <v>27.977174387686233</v>
      </c>
      <c r="I374" s="41" t="s">
        <v>263</v>
      </c>
      <c r="J374" s="89"/>
      <c r="K374" s="89"/>
      <c r="L374" s="89"/>
      <c r="M374" s="89"/>
    </row>
    <row r="375" spans="1:14">
      <c r="A375" s="88" t="s">
        <v>442</v>
      </c>
      <c r="B375" s="88" t="s">
        <v>255</v>
      </c>
      <c r="C375" s="88" t="b">
        <v>1</v>
      </c>
      <c r="D375" s="88" t="s">
        <v>247</v>
      </c>
      <c r="E375" s="88" t="s">
        <v>244</v>
      </c>
      <c r="F375" s="41" t="s">
        <v>467</v>
      </c>
      <c r="G375" s="89">
        <v>1.176592825847266</v>
      </c>
      <c r="H375" s="89">
        <v>27.918873376028102</v>
      </c>
      <c r="I375" s="41" t="s">
        <v>263</v>
      </c>
      <c r="J375" s="89"/>
      <c r="K375" s="89"/>
      <c r="L375" s="89"/>
      <c r="M375" s="89"/>
    </row>
    <row r="376" spans="1:14">
      <c r="A376" s="88" t="s">
        <v>442</v>
      </c>
      <c r="B376" s="88" t="s">
        <v>255</v>
      </c>
      <c r="C376" s="88" t="b">
        <v>1</v>
      </c>
      <c r="D376" s="88" t="s">
        <v>399</v>
      </c>
      <c r="E376" s="88" t="s">
        <v>237</v>
      </c>
      <c r="F376" s="41" t="s">
        <v>468</v>
      </c>
      <c r="G376" s="89">
        <v>1.0403760412561411</v>
      </c>
      <c r="H376" s="89">
        <v>46.799834412038322</v>
      </c>
      <c r="I376" s="41" t="s">
        <v>410</v>
      </c>
      <c r="J376" s="89"/>
      <c r="K376" s="89"/>
      <c r="L376" s="89"/>
      <c r="M376" s="89"/>
    </row>
    <row r="377" spans="1:14">
      <c r="A377" s="88" t="s">
        <v>442</v>
      </c>
      <c r="B377" s="88" t="s">
        <v>269</v>
      </c>
      <c r="C377" s="88" t="b">
        <v>0</v>
      </c>
      <c r="D377" s="88" t="s">
        <v>236</v>
      </c>
      <c r="E377" s="88" t="s">
        <v>237</v>
      </c>
      <c r="F377" s="41" t="s">
        <v>469</v>
      </c>
      <c r="G377" s="89">
        <v>3.3996747360358084E-2</v>
      </c>
      <c r="H377" s="89">
        <v>14.143185777216893</v>
      </c>
      <c r="I377" s="41" t="s">
        <v>271</v>
      </c>
      <c r="J377" s="89"/>
      <c r="K377" s="89"/>
      <c r="L377" s="89"/>
      <c r="M377" s="89"/>
    </row>
    <row r="378" spans="1:14">
      <c r="A378" s="88" t="s">
        <v>442</v>
      </c>
      <c r="B378" s="88" t="s">
        <v>269</v>
      </c>
      <c r="C378" s="88" t="b">
        <v>1</v>
      </c>
      <c r="D378" s="88" t="s">
        <v>236</v>
      </c>
      <c r="E378" s="88" t="s">
        <v>237</v>
      </c>
      <c r="F378" s="41" t="s">
        <v>470</v>
      </c>
      <c r="G378" s="89">
        <v>3.3996747360358084E-2</v>
      </c>
      <c r="H378" s="89">
        <v>14.10692547055134</v>
      </c>
      <c r="I378" s="41" t="s">
        <v>271</v>
      </c>
      <c r="J378" s="89"/>
      <c r="K378" s="89"/>
      <c r="L378" s="89"/>
      <c r="M378" s="89"/>
    </row>
    <row r="379" spans="1:14">
      <c r="A379" s="88" t="s">
        <v>442</v>
      </c>
      <c r="B379" s="88" t="s">
        <v>269</v>
      </c>
      <c r="C379" s="88" t="b">
        <v>0</v>
      </c>
      <c r="D379" s="88" t="s">
        <v>236</v>
      </c>
      <c r="E379" s="88" t="s">
        <v>241</v>
      </c>
      <c r="F379" s="41" t="s">
        <v>471</v>
      </c>
      <c r="G379" s="89">
        <v>0.20077231074281324</v>
      </c>
      <c r="H379" s="89">
        <v>9.8953003018938652</v>
      </c>
      <c r="I379" s="41" t="s">
        <v>271</v>
      </c>
      <c r="J379" s="89"/>
      <c r="K379" s="89"/>
      <c r="L379" s="89"/>
      <c r="M379" s="89"/>
    </row>
    <row r="380" spans="1:14">
      <c r="A380" s="88" t="s">
        <v>442</v>
      </c>
      <c r="B380" s="88" t="s">
        <v>269</v>
      </c>
      <c r="C380" s="88" t="b">
        <v>1</v>
      </c>
      <c r="D380" s="88" t="s">
        <v>236</v>
      </c>
      <c r="E380" s="88" t="s">
        <v>241</v>
      </c>
      <c r="F380" s="41" t="s">
        <v>472</v>
      </c>
      <c r="G380" s="89">
        <v>0.20077231074281324</v>
      </c>
      <c r="H380" s="89">
        <v>9.8719820742014104</v>
      </c>
      <c r="I380" s="41" t="s">
        <v>271</v>
      </c>
      <c r="J380" s="89"/>
      <c r="K380" s="89"/>
      <c r="L380" s="89"/>
      <c r="M380" s="89"/>
    </row>
    <row r="381" spans="1:14">
      <c r="A381" s="88" t="s">
        <v>442</v>
      </c>
      <c r="B381" s="88" t="s">
        <v>269</v>
      </c>
      <c r="C381" s="88" t="b">
        <v>0</v>
      </c>
      <c r="D381" s="88" t="s">
        <v>236</v>
      </c>
      <c r="E381" s="88" t="s">
        <v>244</v>
      </c>
      <c r="F381" s="41" t="s">
        <v>473</v>
      </c>
      <c r="G381" s="89">
        <v>0.34017707487413862</v>
      </c>
      <c r="H381" s="89">
        <v>10.217237380305624</v>
      </c>
      <c r="I381" s="41" t="s">
        <v>271</v>
      </c>
      <c r="J381" s="89"/>
      <c r="K381" s="89"/>
      <c r="L381" s="89"/>
      <c r="M381" s="89"/>
    </row>
    <row r="382" spans="1:14">
      <c r="A382" s="88" t="s">
        <v>442</v>
      </c>
      <c r="B382" s="88" t="s">
        <v>269</v>
      </c>
      <c r="C382" s="88" t="b">
        <v>1</v>
      </c>
      <c r="D382" s="88" t="s">
        <v>236</v>
      </c>
      <c r="E382" s="88" t="s">
        <v>244</v>
      </c>
      <c r="F382" s="41" t="s">
        <v>474</v>
      </c>
      <c r="G382" s="89">
        <v>0.34017707487413862</v>
      </c>
      <c r="H382" s="89">
        <v>10.194803969037922</v>
      </c>
      <c r="I382" s="41" t="s">
        <v>271</v>
      </c>
      <c r="J382" s="89"/>
      <c r="K382" s="89"/>
      <c r="L382" s="89"/>
      <c r="M382" s="89"/>
    </row>
    <row r="383" spans="1:14">
      <c r="A383" s="88" t="s">
        <v>442</v>
      </c>
      <c r="B383" s="88" t="s">
        <v>269</v>
      </c>
      <c r="C383" s="88" t="b">
        <v>1</v>
      </c>
      <c r="D383" s="88" t="s">
        <v>247</v>
      </c>
      <c r="E383" s="88" t="s">
        <v>237</v>
      </c>
      <c r="F383" s="41" t="s">
        <v>475</v>
      </c>
      <c r="G383" s="89">
        <v>9.8883123275577314E-2</v>
      </c>
      <c r="H383" s="89">
        <v>16.720813745434882</v>
      </c>
      <c r="I383" s="41" t="s">
        <v>275</v>
      </c>
      <c r="J383" s="89"/>
      <c r="K383" s="89"/>
      <c r="L383" s="89"/>
      <c r="M383" s="89"/>
      <c r="N383" s="41"/>
    </row>
    <row r="384" spans="1:14">
      <c r="A384" s="88" t="s">
        <v>442</v>
      </c>
      <c r="B384" s="88" t="s">
        <v>269</v>
      </c>
      <c r="C384" s="88" t="b">
        <v>0</v>
      </c>
      <c r="D384" s="88" t="s">
        <v>247</v>
      </c>
      <c r="E384" s="88" t="s">
        <v>241</v>
      </c>
      <c r="F384" s="41" t="s">
        <v>476</v>
      </c>
      <c r="G384" s="89">
        <v>0.42156507037030877</v>
      </c>
      <c r="H384" s="89">
        <v>12.214023878715249</v>
      </c>
      <c r="I384" s="41" t="s">
        <v>275</v>
      </c>
      <c r="J384" s="89"/>
      <c r="K384" s="89"/>
      <c r="L384" s="89"/>
      <c r="M384" s="89"/>
    </row>
    <row r="385" spans="1:13">
      <c r="A385" s="88" t="s">
        <v>442</v>
      </c>
      <c r="B385" s="88" t="s">
        <v>269</v>
      </c>
      <c r="C385" s="88" t="b">
        <v>1</v>
      </c>
      <c r="D385" s="88" t="s">
        <v>247</v>
      </c>
      <c r="E385" s="88" t="s">
        <v>241</v>
      </c>
      <c r="F385" s="41" t="s">
        <v>477</v>
      </c>
      <c r="G385" s="89">
        <v>0.42156507037030877</v>
      </c>
      <c r="H385" s="89">
        <v>12.185846940386863</v>
      </c>
      <c r="I385" s="41" t="s">
        <v>275</v>
      </c>
      <c r="J385" s="89"/>
      <c r="K385" s="89"/>
      <c r="L385" s="89"/>
      <c r="M385" s="89"/>
    </row>
    <row r="386" spans="1:13">
      <c r="A386" s="88" t="s">
        <v>442</v>
      </c>
      <c r="B386" s="88" t="s">
        <v>269</v>
      </c>
      <c r="C386" s="88" t="b">
        <v>0</v>
      </c>
      <c r="D386" s="88" t="s">
        <v>247</v>
      </c>
      <c r="E386" s="88" t="s">
        <v>244</v>
      </c>
      <c r="F386" s="41" t="s">
        <v>478</v>
      </c>
      <c r="G386" s="89">
        <v>0.58628186947718242</v>
      </c>
      <c r="H386" s="89">
        <v>10.951697040537912</v>
      </c>
      <c r="I386" s="41" t="s">
        <v>275</v>
      </c>
      <c r="J386" s="89"/>
      <c r="K386" s="89"/>
      <c r="L386" s="89"/>
      <c r="M386" s="89"/>
    </row>
    <row r="387" spans="1:13">
      <c r="A387" s="88" t="s">
        <v>442</v>
      </c>
      <c r="B387" s="88" t="s">
        <v>269</v>
      </c>
      <c r="C387" s="88" t="b">
        <v>1</v>
      </c>
      <c r="D387" s="88" t="s">
        <v>247</v>
      </c>
      <c r="E387" s="88" t="s">
        <v>244</v>
      </c>
      <c r="F387" s="41" t="s">
        <v>479</v>
      </c>
      <c r="G387" s="89">
        <v>0.58628186947718242</v>
      </c>
      <c r="H387" s="89">
        <v>10.9291611980812</v>
      </c>
      <c r="I387" s="41" t="s">
        <v>275</v>
      </c>
      <c r="J387" s="89"/>
      <c r="K387" s="89"/>
      <c r="L387" s="89"/>
      <c r="M387" s="89"/>
    </row>
    <row r="388" spans="1:13">
      <c r="A388" s="88" t="s">
        <v>442</v>
      </c>
      <c r="B388" s="88" t="s">
        <v>278</v>
      </c>
      <c r="C388" s="88" t="b">
        <v>0</v>
      </c>
      <c r="D388" s="88" t="s">
        <v>236</v>
      </c>
      <c r="E388" s="88" t="s">
        <v>237</v>
      </c>
      <c r="F388" s="41" t="s">
        <v>480</v>
      </c>
      <c r="G388" s="89">
        <v>0.13757963419294489</v>
      </c>
      <c r="H388" s="89">
        <v>177.97162422190507</v>
      </c>
      <c r="I388" s="41" t="s">
        <v>280</v>
      </c>
      <c r="J388" s="89"/>
      <c r="K388" s="89"/>
      <c r="L388" s="89"/>
      <c r="M388" s="89"/>
    </row>
    <row r="389" spans="1:13">
      <c r="A389" s="88" t="s">
        <v>442</v>
      </c>
      <c r="B389" s="88" t="s">
        <v>278</v>
      </c>
      <c r="C389" s="88" t="b">
        <v>1</v>
      </c>
      <c r="D389" s="88" t="s">
        <v>236</v>
      </c>
      <c r="E389" s="88" t="s">
        <v>237</v>
      </c>
      <c r="F389" s="41" t="s">
        <v>481</v>
      </c>
      <c r="G389" s="89">
        <v>0.13111581029536148</v>
      </c>
      <c r="H389" s="89">
        <v>178.70670386174262</v>
      </c>
      <c r="I389" s="41" t="s">
        <v>280</v>
      </c>
      <c r="J389" s="89"/>
      <c r="K389" s="89"/>
      <c r="L389" s="89"/>
      <c r="M389" s="89"/>
    </row>
    <row r="390" spans="1:13">
      <c r="A390" s="88" t="s">
        <v>442</v>
      </c>
      <c r="B390" s="88" t="s">
        <v>278</v>
      </c>
      <c r="C390" s="88" t="b">
        <v>0</v>
      </c>
      <c r="D390" s="88" t="s">
        <v>236</v>
      </c>
      <c r="E390" s="88" t="s">
        <v>241</v>
      </c>
      <c r="F390" s="41" t="s">
        <v>482</v>
      </c>
      <c r="G390" s="89">
        <v>0.60197730823650208</v>
      </c>
      <c r="H390" s="89">
        <v>117.27257320647058</v>
      </c>
      <c r="I390" s="41" t="s">
        <v>280</v>
      </c>
      <c r="J390" s="89"/>
      <c r="K390" s="89"/>
      <c r="L390" s="89"/>
      <c r="M390" s="89"/>
    </row>
    <row r="391" spans="1:13">
      <c r="A391" s="88" t="s">
        <v>442</v>
      </c>
      <c r="B391" s="88" t="s">
        <v>278</v>
      </c>
      <c r="C391" s="88" t="b">
        <v>1</v>
      </c>
      <c r="D391" s="88" t="s">
        <v>236</v>
      </c>
      <c r="E391" s="88" t="s">
        <v>241</v>
      </c>
      <c r="F391" s="41" t="s">
        <v>483</v>
      </c>
      <c r="G391" s="89">
        <v>0.54526256938935225</v>
      </c>
      <c r="H391" s="89">
        <v>112.87763533987254</v>
      </c>
      <c r="I391" s="41" t="s">
        <v>280</v>
      </c>
      <c r="J391" s="89"/>
      <c r="K391" s="89"/>
      <c r="L391" s="89"/>
      <c r="M391" s="89"/>
    </row>
    <row r="392" spans="1:13">
      <c r="A392" s="88" t="s">
        <v>442</v>
      </c>
      <c r="B392" s="88" t="s">
        <v>278</v>
      </c>
      <c r="C392" s="88" t="b">
        <v>0</v>
      </c>
      <c r="D392" s="88" t="s">
        <v>236</v>
      </c>
      <c r="E392" s="88" t="s">
        <v>244</v>
      </c>
      <c r="F392" s="41" t="s">
        <v>484</v>
      </c>
      <c r="G392" s="89">
        <v>0.9599279793483213</v>
      </c>
      <c r="H392" s="89">
        <v>112.62276749232254</v>
      </c>
      <c r="I392" s="41" t="s">
        <v>280</v>
      </c>
      <c r="J392" s="89"/>
      <c r="K392" s="89"/>
      <c r="L392" s="89"/>
      <c r="M392" s="89"/>
    </row>
    <row r="393" spans="1:13">
      <c r="A393" s="88" t="s">
        <v>442</v>
      </c>
      <c r="B393" s="88" t="s">
        <v>278</v>
      </c>
      <c r="C393" s="88" t="b">
        <v>1</v>
      </c>
      <c r="D393" s="88" t="s">
        <v>236</v>
      </c>
      <c r="E393" s="88" t="s">
        <v>244</v>
      </c>
      <c r="F393" s="41" t="s">
        <v>485</v>
      </c>
      <c r="G393" s="89">
        <v>0.87744598371564519</v>
      </c>
      <c r="H393" s="89">
        <v>105.95463066397717</v>
      </c>
      <c r="I393" s="41" t="s">
        <v>280</v>
      </c>
      <c r="J393" s="89"/>
      <c r="K393" s="89"/>
      <c r="L393" s="89"/>
      <c r="M393" s="89"/>
    </row>
    <row r="394" spans="1:13">
      <c r="A394" s="88" t="s">
        <v>442</v>
      </c>
      <c r="B394" s="88" t="s">
        <v>278</v>
      </c>
      <c r="C394" s="88" t="b">
        <v>1</v>
      </c>
      <c r="D394" s="88" t="s">
        <v>247</v>
      </c>
      <c r="E394" s="88" t="s">
        <v>237</v>
      </c>
      <c r="F394" s="41" t="s">
        <v>486</v>
      </c>
      <c r="G394" s="89">
        <v>0.32719909336341685</v>
      </c>
      <c r="H394" s="89">
        <v>209.8334351295172</v>
      </c>
      <c r="I394" s="41" t="s">
        <v>286</v>
      </c>
      <c r="J394" s="89"/>
      <c r="K394" s="89"/>
      <c r="L394" s="89"/>
      <c r="M394" s="89"/>
    </row>
    <row r="395" spans="1:13">
      <c r="A395" s="88" t="s">
        <v>442</v>
      </c>
      <c r="B395" s="88" t="s">
        <v>278</v>
      </c>
      <c r="C395" s="88" t="b">
        <v>0</v>
      </c>
      <c r="D395" s="88" t="s">
        <v>247</v>
      </c>
      <c r="E395" s="88" t="s">
        <v>241</v>
      </c>
      <c r="F395" s="41" t="s">
        <v>487</v>
      </c>
      <c r="G395" s="89">
        <v>1.166323711495763</v>
      </c>
      <c r="H395" s="89">
        <v>144.43586551358118</v>
      </c>
      <c r="I395" s="41" t="s">
        <v>286</v>
      </c>
      <c r="J395" s="89"/>
      <c r="K395" s="89"/>
      <c r="L395" s="89"/>
      <c r="M395" s="89"/>
    </row>
    <row r="396" spans="1:13">
      <c r="A396" s="88" t="s">
        <v>442</v>
      </c>
      <c r="B396" s="88" t="s">
        <v>278</v>
      </c>
      <c r="C396" s="88" t="b">
        <v>1</v>
      </c>
      <c r="D396" s="88" t="s">
        <v>247</v>
      </c>
      <c r="E396" s="88" t="s">
        <v>241</v>
      </c>
      <c r="F396" s="41" t="s">
        <v>488</v>
      </c>
      <c r="G396" s="89">
        <v>1.0984822115226254</v>
      </c>
      <c r="H396" s="89">
        <v>138.7715752120603</v>
      </c>
      <c r="I396" s="41" t="s">
        <v>286</v>
      </c>
      <c r="J396" s="89"/>
      <c r="K396" s="89"/>
      <c r="L396" s="89"/>
      <c r="M396" s="89"/>
    </row>
    <row r="397" spans="1:13">
      <c r="A397" s="88" t="s">
        <v>442</v>
      </c>
      <c r="B397" s="88" t="s">
        <v>278</v>
      </c>
      <c r="C397" s="88" t="b">
        <v>0</v>
      </c>
      <c r="D397" s="88" t="s">
        <v>247</v>
      </c>
      <c r="E397" s="88" t="s">
        <v>244</v>
      </c>
      <c r="F397" s="41" t="s">
        <v>489</v>
      </c>
      <c r="G397" s="89">
        <v>1.5941602763531204</v>
      </c>
      <c r="H397" s="89">
        <v>122.6882492947645</v>
      </c>
      <c r="I397" s="41" t="s">
        <v>286</v>
      </c>
      <c r="J397" s="89"/>
      <c r="K397" s="89"/>
      <c r="L397" s="89"/>
      <c r="M397" s="89"/>
    </row>
    <row r="398" spans="1:13">
      <c r="A398" s="88" t="s">
        <v>442</v>
      </c>
      <c r="B398" s="88" t="s">
        <v>278</v>
      </c>
      <c r="C398" s="88" t="b">
        <v>1</v>
      </c>
      <c r="D398" s="88" t="s">
        <v>247</v>
      </c>
      <c r="E398" s="88" t="s">
        <v>244</v>
      </c>
      <c r="F398" s="41" t="s">
        <v>490</v>
      </c>
      <c r="G398" s="89">
        <v>1.4977341877169454</v>
      </c>
      <c r="H398" s="89">
        <v>114.00811805740508</v>
      </c>
      <c r="I398" s="41" t="s">
        <v>286</v>
      </c>
      <c r="J398" s="89"/>
      <c r="K398" s="89"/>
      <c r="L398" s="89"/>
      <c r="M398" s="89"/>
    </row>
    <row r="399" spans="1:13">
      <c r="A399" s="88" t="s">
        <v>442</v>
      </c>
      <c r="B399" s="88" t="s">
        <v>291</v>
      </c>
      <c r="C399" s="88" t="b">
        <v>0</v>
      </c>
      <c r="D399" s="88" t="s">
        <v>236</v>
      </c>
      <c r="E399" s="88" t="s">
        <v>237</v>
      </c>
      <c r="F399" s="41" t="s">
        <v>491</v>
      </c>
      <c r="G399" s="89">
        <v>0.16168839245013861</v>
      </c>
      <c r="H399" s="89">
        <v>224.45259200664003</v>
      </c>
      <c r="I399" s="41" t="s">
        <v>293</v>
      </c>
      <c r="J399" s="89"/>
      <c r="K399" s="89"/>
      <c r="L399" s="89"/>
      <c r="M399" s="89"/>
    </row>
    <row r="400" spans="1:13">
      <c r="A400" s="88" t="s">
        <v>442</v>
      </c>
      <c r="B400" s="88" t="s">
        <v>291</v>
      </c>
      <c r="C400" s="88" t="b">
        <v>1</v>
      </c>
      <c r="D400" s="88" t="s">
        <v>236</v>
      </c>
      <c r="E400" s="88" t="s">
        <v>237</v>
      </c>
      <c r="F400" s="41" t="s">
        <v>492</v>
      </c>
      <c r="G400" s="89">
        <v>0.15659616758072631</v>
      </c>
      <c r="H400" s="89">
        <v>225.62792394183521</v>
      </c>
      <c r="I400" s="41" t="s">
        <v>293</v>
      </c>
      <c r="J400" s="89"/>
      <c r="K400" s="89"/>
      <c r="L400" s="89"/>
      <c r="M400" s="89"/>
    </row>
    <row r="401" spans="1:13">
      <c r="A401" s="88" t="s">
        <v>442</v>
      </c>
      <c r="B401" s="88" t="s">
        <v>291</v>
      </c>
      <c r="C401" s="88" t="b">
        <v>0</v>
      </c>
      <c r="D401" s="88" t="s">
        <v>236</v>
      </c>
      <c r="E401" s="88" t="s">
        <v>241</v>
      </c>
      <c r="F401" s="41" t="s">
        <v>493</v>
      </c>
      <c r="G401" s="89">
        <v>0.39944233759569264</v>
      </c>
      <c r="H401" s="89">
        <v>145.44062855246011</v>
      </c>
      <c r="I401" s="41" t="s">
        <v>293</v>
      </c>
      <c r="J401" s="89"/>
      <c r="K401" s="89"/>
      <c r="L401" s="89"/>
      <c r="M401" s="89"/>
    </row>
    <row r="402" spans="1:13">
      <c r="A402" s="88" t="s">
        <v>442</v>
      </c>
      <c r="B402" s="88" t="s">
        <v>291</v>
      </c>
      <c r="C402" s="88" t="b">
        <v>1</v>
      </c>
      <c r="D402" s="88" t="s">
        <v>236</v>
      </c>
      <c r="E402" s="88" t="s">
        <v>241</v>
      </c>
      <c r="F402" s="41" t="s">
        <v>494</v>
      </c>
      <c r="G402" s="89">
        <v>0.37019858261708999</v>
      </c>
      <c r="H402" s="89">
        <v>139.69533696529135</v>
      </c>
      <c r="I402" s="41" t="s">
        <v>293</v>
      </c>
      <c r="J402" s="89"/>
      <c r="K402" s="89"/>
      <c r="L402" s="89"/>
      <c r="M402" s="89"/>
    </row>
    <row r="403" spans="1:13">
      <c r="A403" s="88" t="s">
        <v>442</v>
      </c>
      <c r="B403" s="88" t="s">
        <v>291</v>
      </c>
      <c r="C403" s="88" t="b">
        <v>0</v>
      </c>
      <c r="D403" s="88" t="s">
        <v>236</v>
      </c>
      <c r="E403" s="88" t="s">
        <v>244</v>
      </c>
      <c r="F403" s="41" t="s">
        <v>495</v>
      </c>
      <c r="G403" s="89">
        <v>0.69361123677303205</v>
      </c>
      <c r="H403" s="89">
        <v>136.14276182938292</v>
      </c>
      <c r="I403" s="41" t="s">
        <v>293</v>
      </c>
      <c r="J403" s="89"/>
      <c r="K403" s="89"/>
      <c r="L403" s="89"/>
      <c r="M403" s="89"/>
    </row>
    <row r="404" spans="1:13">
      <c r="A404" s="88" t="s">
        <v>442</v>
      </c>
      <c r="B404" s="88" t="s">
        <v>291</v>
      </c>
      <c r="C404" s="88" t="b">
        <v>1</v>
      </c>
      <c r="D404" s="88" t="s">
        <v>236</v>
      </c>
      <c r="E404" s="88" t="s">
        <v>244</v>
      </c>
      <c r="F404" s="41" t="s">
        <v>496</v>
      </c>
      <c r="G404" s="89">
        <v>0.65348913336300707</v>
      </c>
      <c r="H404" s="89">
        <v>127.55662582717721</v>
      </c>
      <c r="I404" s="41" t="s">
        <v>293</v>
      </c>
      <c r="J404" s="89"/>
      <c r="K404" s="89"/>
      <c r="L404" s="89"/>
      <c r="M404" s="89"/>
    </row>
    <row r="405" spans="1:13">
      <c r="A405" s="88" t="s">
        <v>442</v>
      </c>
      <c r="B405" s="88" t="s">
        <v>291</v>
      </c>
      <c r="C405" s="88" t="b">
        <v>1</v>
      </c>
      <c r="D405" s="88" t="s">
        <v>247</v>
      </c>
      <c r="E405" s="88" t="s">
        <v>237</v>
      </c>
      <c r="F405" s="41" t="s">
        <v>497</v>
      </c>
      <c r="G405" s="89">
        <v>0.33728893256172032</v>
      </c>
      <c r="H405" s="89">
        <v>265.27656929307614</v>
      </c>
      <c r="I405" s="41" t="s">
        <v>298</v>
      </c>
      <c r="J405" s="89"/>
      <c r="K405" s="89"/>
      <c r="L405" s="89"/>
      <c r="M405" s="89"/>
    </row>
    <row r="406" spans="1:13">
      <c r="A406" s="88" t="s">
        <v>442</v>
      </c>
      <c r="B406" s="88" t="s">
        <v>291</v>
      </c>
      <c r="C406" s="88" t="b">
        <v>0</v>
      </c>
      <c r="D406" s="88" t="s">
        <v>247</v>
      </c>
      <c r="E406" s="88" t="s">
        <v>241</v>
      </c>
      <c r="F406" s="41" t="s">
        <v>498</v>
      </c>
      <c r="G406" s="89">
        <v>0.78184252059210557</v>
      </c>
      <c r="H406" s="89">
        <v>180.12284322168583</v>
      </c>
      <c r="I406" s="41" t="s">
        <v>298</v>
      </c>
      <c r="J406" s="89"/>
      <c r="K406" s="89"/>
      <c r="L406" s="89"/>
      <c r="M406" s="89"/>
    </row>
    <row r="407" spans="1:13">
      <c r="A407" s="88" t="s">
        <v>442</v>
      </c>
      <c r="B407" s="88" t="s">
        <v>291</v>
      </c>
      <c r="C407" s="88" t="b">
        <v>1</v>
      </c>
      <c r="D407" s="88" t="s">
        <v>247</v>
      </c>
      <c r="E407" s="88" t="s">
        <v>241</v>
      </c>
      <c r="F407" s="41" t="s">
        <v>499</v>
      </c>
      <c r="G407" s="89">
        <v>0.7391604029378771</v>
      </c>
      <c r="H407" s="89">
        <v>172.73924318624947</v>
      </c>
      <c r="I407" s="41" t="s">
        <v>298</v>
      </c>
      <c r="J407" s="89"/>
      <c r="K407" s="89"/>
      <c r="L407" s="89"/>
      <c r="M407" s="89"/>
    </row>
    <row r="408" spans="1:13">
      <c r="A408" s="88" t="s">
        <v>442</v>
      </c>
      <c r="B408" s="88" t="s">
        <v>291</v>
      </c>
      <c r="C408" s="88" t="b">
        <v>0</v>
      </c>
      <c r="D408" s="88" t="s">
        <v>247</v>
      </c>
      <c r="E408" s="88" t="s">
        <v>244</v>
      </c>
      <c r="F408" s="41" t="s">
        <v>500</v>
      </c>
      <c r="G408" s="89">
        <v>1.1623753911760051</v>
      </c>
      <c r="H408" s="89">
        <v>148.26723819862559</v>
      </c>
      <c r="I408" s="41" t="s">
        <v>298</v>
      </c>
      <c r="J408" s="89"/>
      <c r="K408" s="89"/>
      <c r="L408" s="89"/>
      <c r="M408" s="89"/>
    </row>
    <row r="409" spans="1:13">
      <c r="A409" s="88" t="s">
        <v>442</v>
      </c>
      <c r="B409" s="88" t="s">
        <v>291</v>
      </c>
      <c r="C409" s="88" t="b">
        <v>1</v>
      </c>
      <c r="D409" s="88" t="s">
        <v>247</v>
      </c>
      <c r="E409" s="88" t="s">
        <v>244</v>
      </c>
      <c r="F409" s="41" t="s">
        <v>501</v>
      </c>
      <c r="G409" s="89">
        <v>1.1043751259549854</v>
      </c>
      <c r="H409" s="89">
        <v>137.17426858507116</v>
      </c>
      <c r="I409" s="41" t="s">
        <v>298</v>
      </c>
      <c r="J409" s="89"/>
      <c r="K409" s="89"/>
      <c r="L409" s="89"/>
      <c r="M409" s="89"/>
    </row>
    <row r="410" spans="1:13">
      <c r="A410" s="88" t="s">
        <v>442</v>
      </c>
      <c r="B410" s="88" t="s">
        <v>303</v>
      </c>
      <c r="C410" s="88" t="b">
        <v>1</v>
      </c>
      <c r="D410" s="88" t="s">
        <v>236</v>
      </c>
      <c r="E410" s="88" t="s">
        <v>237</v>
      </c>
      <c r="F410" s="41" t="s">
        <v>502</v>
      </c>
      <c r="G410" s="89">
        <v>0.26463185531866273</v>
      </c>
      <c r="H410" s="89">
        <v>67.914028425516733</v>
      </c>
      <c r="I410" s="41" t="s">
        <v>305</v>
      </c>
      <c r="J410" s="89"/>
      <c r="K410" s="89"/>
      <c r="L410" s="89"/>
      <c r="M410" s="89"/>
    </row>
    <row r="411" spans="1:13">
      <c r="A411" s="88" t="s">
        <v>442</v>
      </c>
      <c r="B411" s="88" t="s">
        <v>303</v>
      </c>
      <c r="C411" s="88" t="b">
        <v>0</v>
      </c>
      <c r="D411" s="88" t="s">
        <v>236</v>
      </c>
      <c r="E411" s="88" t="s">
        <v>241</v>
      </c>
      <c r="F411" s="41" t="s">
        <v>503</v>
      </c>
      <c r="G411" s="89">
        <v>0.53661929658455831</v>
      </c>
      <c r="H411" s="89">
        <v>46.100973538275682</v>
      </c>
      <c r="I411" s="41" t="s">
        <v>305</v>
      </c>
      <c r="J411" s="89"/>
      <c r="K411" s="89"/>
      <c r="L411" s="89"/>
      <c r="M411" s="89"/>
    </row>
    <row r="412" spans="1:13">
      <c r="A412" s="88" t="s">
        <v>442</v>
      </c>
      <c r="B412" s="88" t="s">
        <v>303</v>
      </c>
      <c r="C412" s="88" t="b">
        <v>1</v>
      </c>
      <c r="D412" s="88" t="s">
        <v>236</v>
      </c>
      <c r="E412" s="88" t="s">
        <v>241</v>
      </c>
      <c r="F412" s="41" t="s">
        <v>504</v>
      </c>
      <c r="G412" s="89">
        <v>0.53112000301053064</v>
      </c>
      <c r="H412" s="89">
        <v>45.612105751434768</v>
      </c>
      <c r="I412" s="41" t="s">
        <v>305</v>
      </c>
      <c r="J412" s="89"/>
      <c r="K412" s="89"/>
      <c r="L412" s="89"/>
      <c r="M412" s="89"/>
    </row>
    <row r="413" spans="1:13">
      <c r="A413" s="88" t="s">
        <v>442</v>
      </c>
      <c r="B413" s="88" t="s">
        <v>303</v>
      </c>
      <c r="C413" s="88" t="b">
        <v>0</v>
      </c>
      <c r="D413" s="88" t="s">
        <v>236</v>
      </c>
      <c r="E413" s="88" t="s">
        <v>244</v>
      </c>
      <c r="F413" s="41" t="s">
        <v>505</v>
      </c>
      <c r="G413" s="89">
        <v>1.7129185856328488</v>
      </c>
      <c r="H413" s="89">
        <v>36.7895944096094</v>
      </c>
      <c r="I413" s="41" t="s">
        <v>305</v>
      </c>
      <c r="J413" s="89"/>
      <c r="K413" s="89"/>
      <c r="L413" s="89"/>
      <c r="M413" s="89"/>
    </row>
    <row r="414" spans="1:13">
      <c r="A414" s="88" t="s">
        <v>442</v>
      </c>
      <c r="B414" s="88" t="s">
        <v>303</v>
      </c>
      <c r="C414" s="88" t="b">
        <v>1</v>
      </c>
      <c r="D414" s="88" t="s">
        <v>236</v>
      </c>
      <c r="E414" s="88" t="s">
        <v>244</v>
      </c>
      <c r="F414" s="41" t="s">
        <v>506</v>
      </c>
      <c r="G414" s="89">
        <v>1.6613001212764889</v>
      </c>
      <c r="H414" s="89">
        <v>36.091274312382559</v>
      </c>
      <c r="I414" s="41" t="s">
        <v>305</v>
      </c>
      <c r="J414" s="89"/>
      <c r="K414" s="89"/>
      <c r="L414" s="89"/>
      <c r="M414" s="89"/>
    </row>
    <row r="415" spans="1:13">
      <c r="A415" s="88" t="s">
        <v>442</v>
      </c>
      <c r="B415" s="88" t="s">
        <v>303</v>
      </c>
      <c r="C415" s="88" t="b">
        <v>1</v>
      </c>
      <c r="D415" s="88" t="s">
        <v>247</v>
      </c>
      <c r="E415" s="88" t="s">
        <v>244</v>
      </c>
      <c r="F415" s="41" t="s">
        <v>507</v>
      </c>
      <c r="G415" s="89">
        <v>2.4839324101613851</v>
      </c>
      <c r="H415" s="89">
        <v>42.68256924007467</v>
      </c>
      <c r="I415" s="41" t="s">
        <v>310</v>
      </c>
      <c r="J415" s="89"/>
      <c r="K415" s="89"/>
      <c r="L415" s="89"/>
      <c r="M415" s="89"/>
    </row>
    <row r="416" spans="1:13">
      <c r="A416" s="88" t="s">
        <v>442</v>
      </c>
      <c r="B416" s="88" t="s">
        <v>314</v>
      </c>
      <c r="C416" s="88" t="b">
        <v>0</v>
      </c>
      <c r="D416" s="88" t="s">
        <v>236</v>
      </c>
      <c r="E416" s="88" t="s">
        <v>237</v>
      </c>
      <c r="F416" s="41" t="s">
        <v>508</v>
      </c>
      <c r="G416" s="89">
        <v>4.7161391105900896E-2</v>
      </c>
      <c r="H416" s="89">
        <v>8.3141087796331874</v>
      </c>
      <c r="I416" s="41" t="s">
        <v>316</v>
      </c>
      <c r="J416" s="89"/>
      <c r="K416" s="89"/>
      <c r="L416" s="89"/>
      <c r="M416" s="89"/>
    </row>
    <row r="417" spans="1:13">
      <c r="A417" s="88" t="s">
        <v>442</v>
      </c>
      <c r="B417" s="88" t="s">
        <v>314</v>
      </c>
      <c r="C417" s="88" t="b">
        <v>1</v>
      </c>
      <c r="D417" s="88" t="s">
        <v>236</v>
      </c>
      <c r="E417" s="88" t="s">
        <v>237</v>
      </c>
      <c r="F417" s="41" t="s">
        <v>509</v>
      </c>
      <c r="G417" s="89">
        <v>4.716127320743746E-2</v>
      </c>
      <c r="H417" s="89">
        <v>8.252088028908787</v>
      </c>
      <c r="I417" s="41" t="s">
        <v>316</v>
      </c>
      <c r="J417" s="89"/>
      <c r="K417" s="89"/>
      <c r="L417" s="89"/>
      <c r="M417" s="89"/>
    </row>
    <row r="418" spans="1:13">
      <c r="A418" s="88" t="s">
        <v>442</v>
      </c>
      <c r="B418" s="88" t="s">
        <v>314</v>
      </c>
      <c r="C418" s="88" t="b">
        <v>0</v>
      </c>
      <c r="D418" s="88" t="s">
        <v>236</v>
      </c>
      <c r="E418" s="88" t="s">
        <v>241</v>
      </c>
      <c r="F418" s="41" t="s">
        <v>510</v>
      </c>
      <c r="G418" s="89">
        <v>7.3642790082301721E-2</v>
      </c>
      <c r="H418" s="89">
        <v>5.671315782078012</v>
      </c>
      <c r="I418" s="41" t="s">
        <v>316</v>
      </c>
      <c r="J418" s="89"/>
      <c r="K418" s="89"/>
      <c r="L418" s="89"/>
      <c r="M418" s="89"/>
    </row>
    <row r="419" spans="1:13">
      <c r="A419" s="88" t="s">
        <v>442</v>
      </c>
      <c r="B419" s="88" t="s">
        <v>314</v>
      </c>
      <c r="C419" s="88" t="b">
        <v>1</v>
      </c>
      <c r="D419" s="88" t="s">
        <v>236</v>
      </c>
      <c r="E419" s="88" t="s">
        <v>241</v>
      </c>
      <c r="F419" s="41" t="s">
        <v>511</v>
      </c>
      <c r="G419" s="89">
        <v>7.364261226503524E-2</v>
      </c>
      <c r="H419" s="89">
        <v>5.6312331618029043</v>
      </c>
      <c r="I419" s="41" t="s">
        <v>316</v>
      </c>
      <c r="J419" s="89"/>
      <c r="K419" s="89"/>
      <c r="L419" s="89"/>
      <c r="M419" s="89"/>
    </row>
    <row r="420" spans="1:13">
      <c r="A420" s="88" t="s">
        <v>442</v>
      </c>
      <c r="B420" s="88" t="s">
        <v>314</v>
      </c>
      <c r="C420" s="88" t="b">
        <v>0</v>
      </c>
      <c r="D420" s="88" t="s">
        <v>236</v>
      </c>
      <c r="E420" s="88" t="s">
        <v>244</v>
      </c>
      <c r="F420" s="41" t="s">
        <v>512</v>
      </c>
      <c r="G420" s="89">
        <v>0.25404200530948007</v>
      </c>
      <c r="H420" s="89">
        <v>4.899788455695453</v>
      </c>
      <c r="I420" s="41" t="s">
        <v>316</v>
      </c>
      <c r="J420" s="89"/>
      <c r="K420" s="89"/>
      <c r="L420" s="89"/>
      <c r="M420" s="89"/>
    </row>
    <row r="421" spans="1:13">
      <c r="A421" s="88" t="s">
        <v>442</v>
      </c>
      <c r="B421" s="88" t="s">
        <v>314</v>
      </c>
      <c r="C421" s="88" t="b">
        <v>1</v>
      </c>
      <c r="D421" s="88" t="s">
        <v>236</v>
      </c>
      <c r="E421" s="88" t="s">
        <v>244</v>
      </c>
      <c r="F421" s="41" t="s">
        <v>513</v>
      </c>
      <c r="G421" s="89">
        <v>0.25402535797986248</v>
      </c>
      <c r="H421" s="89">
        <v>4.8858293205657155</v>
      </c>
      <c r="I421" s="41" t="s">
        <v>316</v>
      </c>
      <c r="J421" s="89"/>
      <c r="K421" s="89"/>
      <c r="L421" s="89"/>
      <c r="M421" s="89"/>
    </row>
    <row r="422" spans="1:13">
      <c r="A422" s="88" t="s">
        <v>442</v>
      </c>
      <c r="B422" s="88" t="s">
        <v>314</v>
      </c>
      <c r="C422" s="88" t="b">
        <v>1</v>
      </c>
      <c r="D422" s="88" t="s">
        <v>247</v>
      </c>
      <c r="E422" s="88" t="s">
        <v>237</v>
      </c>
      <c r="F422" s="41" t="s">
        <v>514</v>
      </c>
      <c r="G422" s="89">
        <v>7.9131930462383385E-2</v>
      </c>
      <c r="H422" s="89">
        <v>11.336420841886477</v>
      </c>
      <c r="I422" s="41" t="s">
        <v>322</v>
      </c>
      <c r="J422" s="89"/>
      <c r="K422" s="89"/>
      <c r="L422" s="89"/>
      <c r="M422" s="89"/>
    </row>
    <row r="423" spans="1:13">
      <c r="A423" s="88" t="s">
        <v>442</v>
      </c>
      <c r="B423" s="88" t="s">
        <v>314</v>
      </c>
      <c r="C423" s="88" t="b">
        <v>0</v>
      </c>
      <c r="D423" s="88" t="s">
        <v>247</v>
      </c>
      <c r="E423" s="88" t="s">
        <v>241</v>
      </c>
      <c r="F423" s="41" t="s">
        <v>515</v>
      </c>
      <c r="G423" s="89">
        <v>0.12863599596369241</v>
      </c>
      <c r="H423" s="89">
        <v>8.9063343491579943</v>
      </c>
      <c r="I423" s="41" t="s">
        <v>322</v>
      </c>
      <c r="J423" s="89"/>
      <c r="K423" s="89"/>
      <c r="L423" s="89"/>
      <c r="M423" s="89"/>
    </row>
    <row r="424" spans="1:13">
      <c r="A424" s="88" t="s">
        <v>442</v>
      </c>
      <c r="B424" s="88" t="s">
        <v>314</v>
      </c>
      <c r="C424" s="88" t="b">
        <v>1</v>
      </c>
      <c r="D424" s="88" t="s">
        <v>247</v>
      </c>
      <c r="E424" s="88" t="s">
        <v>241</v>
      </c>
      <c r="F424" s="41" t="s">
        <v>516</v>
      </c>
      <c r="G424" s="89">
        <v>0.12863576306176661</v>
      </c>
      <c r="H424" s="89">
        <v>8.8435569482541183</v>
      </c>
      <c r="I424" s="41" t="s">
        <v>322</v>
      </c>
      <c r="J424" s="89"/>
      <c r="K424" s="89"/>
      <c r="L424" s="89"/>
      <c r="M424" s="89"/>
    </row>
    <row r="425" spans="1:13">
      <c r="A425" s="88" t="s">
        <v>442</v>
      </c>
      <c r="B425" s="88" t="s">
        <v>314</v>
      </c>
      <c r="C425" s="88" t="b">
        <v>0</v>
      </c>
      <c r="D425" s="88" t="s">
        <v>247</v>
      </c>
      <c r="E425" s="88" t="s">
        <v>244</v>
      </c>
      <c r="F425" s="41" t="s">
        <v>517</v>
      </c>
      <c r="G425" s="89">
        <v>0.39737496507766984</v>
      </c>
      <c r="H425" s="89">
        <v>5.9548753526050584</v>
      </c>
      <c r="I425" s="41" t="s">
        <v>322</v>
      </c>
      <c r="J425" s="89"/>
      <c r="K425" s="89"/>
      <c r="L425" s="89"/>
      <c r="M425" s="89"/>
    </row>
    <row r="426" spans="1:13">
      <c r="A426" s="88" t="s">
        <v>442</v>
      </c>
      <c r="B426" s="88" t="s">
        <v>314</v>
      </c>
      <c r="C426" s="88" t="b">
        <v>1</v>
      </c>
      <c r="D426" s="88" t="s">
        <v>247</v>
      </c>
      <c r="E426" s="88" t="s">
        <v>244</v>
      </c>
      <c r="F426" s="41" t="s">
        <v>518</v>
      </c>
      <c r="G426" s="89">
        <v>0.39735480988359773</v>
      </c>
      <c r="H426" s="89">
        <v>5.9390947895498094</v>
      </c>
      <c r="I426" s="41" t="s">
        <v>322</v>
      </c>
      <c r="J426" s="89"/>
      <c r="K426" s="89"/>
      <c r="L426" s="89"/>
      <c r="M426" s="89"/>
    </row>
    <row r="427" spans="1:13">
      <c r="A427" s="88" t="s">
        <v>442</v>
      </c>
      <c r="B427" s="88" t="s">
        <v>314</v>
      </c>
      <c r="C427" s="88" t="b">
        <v>1</v>
      </c>
      <c r="D427" s="88" t="s">
        <v>399</v>
      </c>
      <c r="E427" s="88" t="s">
        <v>241</v>
      </c>
      <c r="F427" s="41" t="s">
        <v>519</v>
      </c>
      <c r="G427" s="89">
        <v>0.44266178760683916</v>
      </c>
      <c r="H427" s="89">
        <v>14.092226976685108</v>
      </c>
      <c r="I427" s="41" t="s">
        <v>435</v>
      </c>
      <c r="J427" s="89"/>
      <c r="K427" s="89"/>
      <c r="L427" s="89"/>
      <c r="M427" s="89"/>
    </row>
    <row r="428" spans="1:13">
      <c r="A428" s="88" t="s">
        <v>442</v>
      </c>
      <c r="B428" s="88" t="s">
        <v>327</v>
      </c>
      <c r="C428" s="88" t="b">
        <v>0</v>
      </c>
      <c r="D428" s="88" t="s">
        <v>236</v>
      </c>
      <c r="E428" s="88" t="s">
        <v>237</v>
      </c>
      <c r="F428" s="41" t="s">
        <v>520</v>
      </c>
      <c r="G428" s="89">
        <v>0.12581615202858673</v>
      </c>
      <c r="H428" s="89">
        <v>51.359981182844685</v>
      </c>
      <c r="I428" s="41" t="s">
        <v>329</v>
      </c>
      <c r="J428" s="89"/>
      <c r="K428" s="89"/>
      <c r="L428" s="89"/>
      <c r="M428" s="89"/>
    </row>
    <row r="429" spans="1:13">
      <c r="A429" s="88" t="s">
        <v>442</v>
      </c>
      <c r="B429" s="88" t="s">
        <v>327</v>
      </c>
      <c r="C429" s="88" t="b">
        <v>1</v>
      </c>
      <c r="D429" s="88" t="s">
        <v>236</v>
      </c>
      <c r="E429" s="88" t="s">
        <v>237</v>
      </c>
      <c r="F429" s="41" t="s">
        <v>521</v>
      </c>
      <c r="G429" s="89">
        <v>0.12516742766510505</v>
      </c>
      <c r="H429" s="89">
        <v>51.214821729942507</v>
      </c>
      <c r="I429" s="41" t="s">
        <v>329</v>
      </c>
      <c r="J429" s="89"/>
      <c r="K429" s="89"/>
      <c r="L429" s="89"/>
      <c r="M429" s="89"/>
    </row>
    <row r="430" spans="1:13">
      <c r="A430" s="88" t="s">
        <v>442</v>
      </c>
      <c r="B430" s="88" t="s">
        <v>327</v>
      </c>
      <c r="C430" s="88" t="b">
        <v>0</v>
      </c>
      <c r="D430" s="88" t="s">
        <v>236</v>
      </c>
      <c r="E430" s="88" t="s">
        <v>241</v>
      </c>
      <c r="F430" s="41" t="s">
        <v>522</v>
      </c>
      <c r="G430" s="89">
        <v>0.48979665877027506</v>
      </c>
      <c r="H430" s="89">
        <v>35.421673217182473</v>
      </c>
      <c r="I430" s="41" t="s">
        <v>329</v>
      </c>
      <c r="J430" s="89"/>
      <c r="K430" s="89"/>
      <c r="L430" s="89"/>
      <c r="M430" s="89"/>
    </row>
    <row r="431" spans="1:13">
      <c r="A431" s="88" t="s">
        <v>442</v>
      </c>
      <c r="B431" s="88" t="s">
        <v>327</v>
      </c>
      <c r="C431" s="88" t="b">
        <v>1</v>
      </c>
      <c r="D431" s="88" t="s">
        <v>236</v>
      </c>
      <c r="E431" s="88" t="s">
        <v>241</v>
      </c>
      <c r="F431" s="41" t="s">
        <v>523</v>
      </c>
      <c r="G431" s="89">
        <v>0.48491203262512267</v>
      </c>
      <c r="H431" s="89">
        <v>34.968145030370017</v>
      </c>
      <c r="I431" s="41" t="s">
        <v>329</v>
      </c>
      <c r="J431" s="89"/>
      <c r="K431" s="89"/>
      <c r="L431" s="89"/>
      <c r="M431" s="89"/>
    </row>
    <row r="432" spans="1:13">
      <c r="A432" s="88" t="s">
        <v>442</v>
      </c>
      <c r="B432" s="88" t="s">
        <v>327</v>
      </c>
      <c r="C432" s="88" t="b">
        <v>0</v>
      </c>
      <c r="D432" s="88" t="s">
        <v>236</v>
      </c>
      <c r="E432" s="88" t="s">
        <v>244</v>
      </c>
      <c r="F432" s="41" t="s">
        <v>524</v>
      </c>
      <c r="G432" s="89">
        <v>0.98223688270845422</v>
      </c>
      <c r="H432" s="89">
        <v>35.177389161918363</v>
      </c>
      <c r="I432" s="41" t="s">
        <v>329</v>
      </c>
      <c r="J432" s="89"/>
      <c r="K432" s="89"/>
      <c r="L432" s="89"/>
      <c r="M432" s="89"/>
    </row>
    <row r="433" spans="1:13">
      <c r="A433" s="88" t="s">
        <v>442</v>
      </c>
      <c r="B433" s="88" t="s">
        <v>327</v>
      </c>
      <c r="C433" s="88" t="b">
        <v>1</v>
      </c>
      <c r="D433" s="88" t="s">
        <v>236</v>
      </c>
      <c r="E433" s="88" t="s">
        <v>244</v>
      </c>
      <c r="F433" s="41" t="s">
        <v>525</v>
      </c>
      <c r="G433" s="89">
        <v>0.97325204807175314</v>
      </c>
      <c r="H433" s="89">
        <v>34.570387367895933</v>
      </c>
      <c r="I433" s="41" t="s">
        <v>329</v>
      </c>
      <c r="J433" s="89"/>
      <c r="K433" s="89"/>
      <c r="L433" s="89"/>
      <c r="M433" s="89"/>
    </row>
    <row r="434" spans="1:13">
      <c r="A434" s="88" t="s">
        <v>442</v>
      </c>
      <c r="B434" s="88" t="s">
        <v>327</v>
      </c>
      <c r="C434" s="88" t="b">
        <v>1</v>
      </c>
      <c r="D434" s="88" t="s">
        <v>247</v>
      </c>
      <c r="E434" s="88" t="s">
        <v>237</v>
      </c>
      <c r="F434" s="41" t="s">
        <v>526</v>
      </c>
      <c r="G434" s="89">
        <v>0.29500871939302109</v>
      </c>
      <c r="H434" s="89">
        <v>62.642584669810894</v>
      </c>
      <c r="I434" s="41" t="s">
        <v>335</v>
      </c>
      <c r="J434" s="89"/>
      <c r="K434" s="89"/>
      <c r="L434" s="89"/>
      <c r="M434" s="89"/>
    </row>
    <row r="435" spans="1:13">
      <c r="A435" s="88" t="s">
        <v>442</v>
      </c>
      <c r="B435" s="88" t="s">
        <v>327</v>
      </c>
      <c r="C435" s="88" t="b">
        <v>0</v>
      </c>
      <c r="D435" s="88" t="s">
        <v>247</v>
      </c>
      <c r="E435" s="88" t="s">
        <v>241</v>
      </c>
      <c r="F435" s="41" t="s">
        <v>527</v>
      </c>
      <c r="G435" s="89">
        <v>1.005252745684281</v>
      </c>
      <c r="H435" s="89">
        <v>46.138814189933214</v>
      </c>
      <c r="I435" s="41" t="s">
        <v>335</v>
      </c>
      <c r="J435" s="89"/>
      <c r="K435" s="89"/>
      <c r="L435" s="89"/>
      <c r="M435" s="89"/>
    </row>
    <row r="436" spans="1:13">
      <c r="A436" s="88" t="s">
        <v>442</v>
      </c>
      <c r="B436" s="88" t="s">
        <v>327</v>
      </c>
      <c r="C436" s="88" t="b">
        <v>1</v>
      </c>
      <c r="D436" s="88" t="s">
        <v>247</v>
      </c>
      <c r="E436" s="88" t="s">
        <v>241</v>
      </c>
      <c r="F436" s="41" t="s">
        <v>528</v>
      </c>
      <c r="G436" s="89">
        <v>0.99934496996485012</v>
      </c>
      <c r="H436" s="89">
        <v>45.548499202641274</v>
      </c>
      <c r="I436" s="41" t="s">
        <v>335</v>
      </c>
      <c r="J436" s="89"/>
      <c r="K436" s="89"/>
      <c r="L436" s="89"/>
      <c r="M436" s="89"/>
    </row>
    <row r="437" spans="1:13">
      <c r="A437" s="88" t="s">
        <v>442</v>
      </c>
      <c r="B437" s="88" t="s">
        <v>327</v>
      </c>
      <c r="C437" s="88" t="b">
        <v>0</v>
      </c>
      <c r="D437" s="88" t="s">
        <v>247</v>
      </c>
      <c r="E437" s="88" t="s">
        <v>244</v>
      </c>
      <c r="F437" s="41" t="s">
        <v>529</v>
      </c>
      <c r="G437" s="89">
        <v>1.6484324476522072</v>
      </c>
      <c r="H437" s="89">
        <v>38.896128800217149</v>
      </c>
      <c r="I437" s="41" t="s">
        <v>335</v>
      </c>
      <c r="J437" s="89"/>
      <c r="K437" s="89"/>
      <c r="L437" s="89"/>
      <c r="M437" s="89"/>
    </row>
    <row r="438" spans="1:13">
      <c r="A438" s="88" t="s">
        <v>442</v>
      </c>
      <c r="B438" s="88" t="s">
        <v>327</v>
      </c>
      <c r="C438" s="88" t="b">
        <v>1</v>
      </c>
      <c r="D438" s="88" t="s">
        <v>247</v>
      </c>
      <c r="E438" s="88" t="s">
        <v>244</v>
      </c>
      <c r="F438" s="41" t="s">
        <v>530</v>
      </c>
      <c r="G438" s="89">
        <v>1.637770163638111</v>
      </c>
      <c r="H438" s="89">
        <v>38.135717857330476</v>
      </c>
      <c r="I438" s="41" t="s">
        <v>335</v>
      </c>
      <c r="J438" s="89"/>
      <c r="K438" s="89"/>
      <c r="L438" s="89"/>
      <c r="M438" s="89"/>
    </row>
    <row r="439" spans="1:13">
      <c r="A439" s="88" t="s">
        <v>531</v>
      </c>
      <c r="B439" s="88" t="s">
        <v>531</v>
      </c>
      <c r="C439" s="88" t="s">
        <v>531</v>
      </c>
      <c r="D439" s="88" t="s">
        <v>531</v>
      </c>
      <c r="E439" s="90" t="s">
        <v>532</v>
      </c>
      <c r="F439" s="41" t="str">
        <f>"|"&amp;"|"&amp;"|"&amp;E439</f>
        <v>|||Greenspace</v>
      </c>
      <c r="G439" s="91">
        <v>0.02</v>
      </c>
      <c r="H439" s="89">
        <v>3</v>
      </c>
      <c r="I439" s="41"/>
      <c r="J439" s="41"/>
      <c r="K439" s="41"/>
      <c r="L439" s="41"/>
      <c r="M439" s="41"/>
    </row>
    <row r="440" spans="1:13" ht="15">
      <c r="A440" s="88" t="s">
        <v>531</v>
      </c>
      <c r="B440" s="88" t="s">
        <v>531</v>
      </c>
      <c r="C440" s="88" t="s">
        <v>531</v>
      </c>
      <c r="D440" s="88" t="s">
        <v>531</v>
      </c>
      <c r="E440" s="90" t="s">
        <v>533</v>
      </c>
      <c r="F440" s="41" t="str">
        <f>"|"&amp;"|"&amp;"|"&amp;E440</f>
        <v>|||Community food growing</v>
      </c>
      <c r="G440" s="99">
        <f>IFERROR(VLOOKUP((VLOOKUP(Nutrients_from_current_land_use!$B$5,Value_look_up_tables!$A$476:$B$478,2,FALSE)&amp;"|"&amp;"General"&amp;"|"&amp;"FALSE"&amp;"|"&amp;VLOOKUP(Nutrients_from_current_land_use!$B$7,Value_look_up_tables!$A$450:$C$472,3,FALSE)&amp;"|"&amp;"FreeDrain"),$F$91:$H$446,2,FALSE), IFERROR(VLOOKUP("General"&amp;"|"&amp;VLOOKUP(Nutrients_from_current_land_use!$B$7,Value_look_up_tables!$A$450:$C$472,3,FALSE),$I$91:$M$446,2,FALSE),VLOOKUP("General",$B$91:$M$446,11,FALSE)))</f>
        <v>0.45344460962485733</v>
      </c>
      <c r="H440" s="99">
        <f>IFERROR(VLOOKUP((VLOOKUP(Nutrients_from_current_land_use!$B$5,$A$476:$B$478,2,FALSE)&amp;"|"&amp;"General"&amp;"|"&amp;"FALSE"&amp;"|"&amp;VLOOKUP(Nutrients_from_current_land_use!$B$7,$A$450:$C$472,3,FALSE)&amp;"|"&amp;"FreeDrain"),$F$91:$H$446,3,FALSE), IFERROR(VLOOKUP("General"&amp;"|"&amp;VLOOKUP(Nutrients_from_current_land_use!$B$7,$A$450:$C$472,3,FALSE),$I$91:$M$446,3,FALSE),VLOOKUP("General",$B$91:$M$446,12,FALSE)))</f>
        <v>25.028973007903257</v>
      </c>
      <c r="I440" s="41"/>
      <c r="J440" s="41"/>
      <c r="K440" s="41"/>
      <c r="L440" s="41"/>
      <c r="M440" s="41"/>
    </row>
    <row r="441" spans="1:13">
      <c r="A441" s="88" t="s">
        <v>531</v>
      </c>
      <c r="B441" s="88" t="s">
        <v>531</v>
      </c>
      <c r="C441" s="88" t="s">
        <v>531</v>
      </c>
      <c r="D441" s="88" t="s">
        <v>531</v>
      </c>
      <c r="E441" s="90" t="s">
        <v>534</v>
      </c>
      <c r="F441" s="41" t="str">
        <f>"|"&amp;"|"&amp;"|"&amp;E441</f>
        <v>|||Woodland</v>
      </c>
      <c r="G441" s="91">
        <v>0.02</v>
      </c>
      <c r="H441" s="89">
        <v>3</v>
      </c>
      <c r="I441" s="41"/>
      <c r="J441" s="41"/>
      <c r="K441" s="41"/>
      <c r="L441" s="41"/>
      <c r="M441" s="41"/>
    </row>
    <row r="442" spans="1:13">
      <c r="A442" s="88" t="s">
        <v>531</v>
      </c>
      <c r="B442" s="88" t="s">
        <v>531</v>
      </c>
      <c r="C442" s="88" t="s">
        <v>531</v>
      </c>
      <c r="D442" s="88" t="s">
        <v>531</v>
      </c>
      <c r="E442" s="90" t="s">
        <v>535</v>
      </c>
      <c r="F442" s="41" t="str">
        <f>"|"&amp;"|"&amp;"|"&amp;E442</f>
        <v>|||Shrub</v>
      </c>
      <c r="G442" s="91">
        <v>0.02</v>
      </c>
      <c r="H442" s="89">
        <v>3</v>
      </c>
      <c r="I442" s="41"/>
      <c r="J442" s="41"/>
      <c r="K442" s="41"/>
      <c r="L442" s="41"/>
      <c r="M442" s="41"/>
    </row>
    <row r="443" spans="1:13">
      <c r="A443" s="88" t="s">
        <v>531</v>
      </c>
      <c r="B443" s="88" t="s">
        <v>531</v>
      </c>
      <c r="C443" s="88" t="s">
        <v>531</v>
      </c>
      <c r="D443" s="88" t="s">
        <v>531</v>
      </c>
      <c r="E443" s="90" t="s">
        <v>536</v>
      </c>
      <c r="F443" s="41" t="str">
        <f>"|"&amp;"|"&amp;"|"&amp;E443</f>
        <v>|||Water</v>
      </c>
      <c r="G443" s="91">
        <v>0</v>
      </c>
      <c r="H443" s="89">
        <v>0</v>
      </c>
      <c r="I443" s="41"/>
      <c r="J443" s="41"/>
      <c r="K443" s="41"/>
      <c r="L443" s="41"/>
      <c r="M443" s="41"/>
    </row>
    <row r="444" spans="1:13">
      <c r="A444" s="88" t="s">
        <v>531</v>
      </c>
      <c r="B444" s="88" t="s">
        <v>531</v>
      </c>
      <c r="C444" s="88" t="s">
        <v>531</v>
      </c>
      <c r="D444" s="88" t="s">
        <v>531</v>
      </c>
      <c r="E444" s="41" t="s">
        <v>537</v>
      </c>
      <c r="F444" s="41" t="str">
        <f t="shared" ref="F444:F446" si="0">"|"&amp;"|"&amp;"|"&amp;E444</f>
        <v>|||Residential urban land</v>
      </c>
      <c r="G444" s="89" t="e">
        <f>VLOOKUP(Nutrients_from_current_land_use!B7,Value_look_up_tables!A450:F472,6,FALSE)</f>
        <v>#N/A</v>
      </c>
      <c r="H444" s="89" t="e">
        <f>VLOOKUP(Nutrients_from_current_land_use!B7,Value_look_up_tables!A450:I472,9,FALSE)</f>
        <v>#N/A</v>
      </c>
      <c r="I444" s="41"/>
      <c r="J444" s="41"/>
      <c r="K444" s="41"/>
      <c r="L444" s="41"/>
      <c r="M444" s="41"/>
    </row>
    <row r="445" spans="1:13" ht="28.5">
      <c r="A445" s="88" t="s">
        <v>531</v>
      </c>
      <c r="B445" s="88" t="s">
        <v>531</v>
      </c>
      <c r="C445" s="88" t="s">
        <v>531</v>
      </c>
      <c r="D445" s="88" t="s">
        <v>531</v>
      </c>
      <c r="E445" s="41" t="s">
        <v>538</v>
      </c>
      <c r="F445" s="41" t="str">
        <f t="shared" si="0"/>
        <v>|||Commercial/industrial urban land</v>
      </c>
      <c r="G445" s="89" t="e">
        <f>VLOOKUP(Nutrients_from_current_land_use!B7,Value_look_up_tables!A450:G472,7,FALSE)</f>
        <v>#N/A</v>
      </c>
      <c r="H445" s="89" t="e">
        <f>VLOOKUP(Nutrients_from_current_land_use!B7,Value_look_up_tables!A450:K472,10,FALSE)</f>
        <v>#N/A</v>
      </c>
      <c r="I445" s="41"/>
      <c r="J445" s="41"/>
      <c r="K445" s="41"/>
      <c r="L445" s="41"/>
      <c r="M445" s="41"/>
    </row>
    <row r="446" spans="1:13">
      <c r="A446" s="88" t="s">
        <v>531</v>
      </c>
      <c r="B446" s="88" t="s">
        <v>531</v>
      </c>
      <c r="C446" s="88" t="s">
        <v>531</v>
      </c>
      <c r="D446" s="88" t="s">
        <v>531</v>
      </c>
      <c r="E446" s="41" t="s">
        <v>539</v>
      </c>
      <c r="F446" s="41" t="str">
        <f t="shared" si="0"/>
        <v>|||Open urban land</v>
      </c>
      <c r="G446" s="89" t="e">
        <f>VLOOKUP(Nutrients_from_current_land_use!B7,Value_look_up_tables!A450:H472,8,FALSE)</f>
        <v>#N/A</v>
      </c>
      <c r="H446" s="89" t="e">
        <f>VLOOKUP(Nutrients_from_current_land_use!B7,Value_look_up_tables!A450:N472,11,FALSE)</f>
        <v>#N/A</v>
      </c>
      <c r="I446" s="41"/>
      <c r="J446" s="41"/>
      <c r="K446" s="41"/>
      <c r="L446" s="41"/>
      <c r="M446" s="41"/>
    </row>
    <row r="447" spans="1:13">
      <c r="A447" s="41"/>
      <c r="B447" s="41"/>
      <c r="C447" s="41"/>
      <c r="D447" s="41"/>
      <c r="E447" s="41"/>
      <c r="F447" s="41"/>
      <c r="G447" s="89"/>
      <c r="H447" s="89"/>
      <c r="I447" s="41"/>
      <c r="J447" s="41"/>
      <c r="K447" s="41"/>
      <c r="L447" s="41"/>
      <c r="M447" s="41"/>
    </row>
    <row r="448" spans="1:13" s="118" customFormat="1" ht="37.5" customHeight="1">
      <c r="A448" s="117" t="s">
        <v>540</v>
      </c>
      <c r="B448" s="119"/>
      <c r="C448" s="119"/>
      <c r="D448" s="119"/>
      <c r="E448" s="119"/>
      <c r="F448" s="119"/>
      <c r="G448" s="120"/>
      <c r="H448" s="120"/>
      <c r="I448" s="119"/>
      <c r="J448" s="119"/>
      <c r="K448" s="119"/>
      <c r="L448" s="119"/>
      <c r="M448" s="119"/>
    </row>
    <row r="449" spans="1:13" ht="75">
      <c r="A449" s="26" t="s">
        <v>541</v>
      </c>
      <c r="B449" s="26" t="s">
        <v>542</v>
      </c>
      <c r="C449" s="26" t="s">
        <v>543</v>
      </c>
      <c r="D449" s="26" t="s">
        <v>544</v>
      </c>
      <c r="E449" s="26" t="s">
        <v>545</v>
      </c>
      <c r="F449" s="26" t="s">
        <v>546</v>
      </c>
      <c r="G449" s="26" t="s">
        <v>547</v>
      </c>
      <c r="H449" s="26" t="s">
        <v>548</v>
      </c>
      <c r="I449" s="26" t="s">
        <v>549</v>
      </c>
      <c r="J449" s="26" t="s">
        <v>550</v>
      </c>
      <c r="K449" s="26" t="s">
        <v>551</v>
      </c>
      <c r="L449" s="26"/>
      <c r="M449" s="26"/>
    </row>
    <row r="450" spans="1:13">
      <c r="A450" s="17" t="s">
        <v>552</v>
      </c>
      <c r="B450" s="92">
        <v>516.5</v>
      </c>
      <c r="C450" s="17" t="s">
        <v>553</v>
      </c>
      <c r="D450" s="92">
        <v>47.366326420209788</v>
      </c>
      <c r="E450" s="92">
        <v>63.946326420209786</v>
      </c>
      <c r="F450" s="92">
        <v>1.0030530114375726</v>
      </c>
      <c r="G450" s="92">
        <v>0.73394122788115068</v>
      </c>
      <c r="H450" s="92">
        <v>0.5382235671128438</v>
      </c>
      <c r="I450" s="92">
        <v>9.4130591148709328</v>
      </c>
      <c r="J450" s="92">
        <v>5.0202981945978298</v>
      </c>
      <c r="K450" s="92">
        <v>5.5487506361344439</v>
      </c>
      <c r="L450" s="92"/>
      <c r="M450" s="92"/>
    </row>
    <row r="451" spans="1:13">
      <c r="A451" s="17" t="s">
        <v>554</v>
      </c>
      <c r="B451" s="92">
        <v>537.54999999999995</v>
      </c>
      <c r="C451" s="17" t="s">
        <v>553</v>
      </c>
      <c r="D451" s="92">
        <v>47.605509573313697</v>
      </c>
      <c r="E451" s="92">
        <v>64.185509573313695</v>
      </c>
      <c r="F451" s="92">
        <v>1.049204008516526</v>
      </c>
      <c r="G451" s="92">
        <v>0.76771025013404326</v>
      </c>
      <c r="H451" s="92">
        <v>0.56298751676496517</v>
      </c>
      <c r="I451" s="92">
        <v>9.8333323912734105</v>
      </c>
      <c r="J451" s="92">
        <v>5.2444439420124853</v>
      </c>
      <c r="K451" s="92">
        <v>5.7964906727506413</v>
      </c>
      <c r="L451" s="92"/>
      <c r="M451" s="92"/>
    </row>
    <row r="452" spans="1:13">
      <c r="A452" s="17" t="s">
        <v>555</v>
      </c>
      <c r="B452" s="92">
        <v>562.54999999999995</v>
      </c>
      <c r="C452" s="17" t="s">
        <v>553</v>
      </c>
      <c r="D452" s="92">
        <v>47.8624816470968</v>
      </c>
      <c r="E452" s="92">
        <v>64.442481647096798</v>
      </c>
      <c r="F452" s="92">
        <v>1.1039266010735462</v>
      </c>
      <c r="G452" s="92">
        <v>0.80775117151722908</v>
      </c>
      <c r="H452" s="92">
        <v>0.59235085911263463</v>
      </c>
      <c r="I452" s="92">
        <v>10.331853644413675</v>
      </c>
      <c r="J452" s="92">
        <v>5.5103219436872939</v>
      </c>
      <c r="K452" s="92">
        <v>6.0903558324964822</v>
      </c>
      <c r="L452" s="92"/>
      <c r="M452" s="92"/>
    </row>
    <row r="453" spans="1:13">
      <c r="A453" s="17" t="s">
        <v>556</v>
      </c>
      <c r="B453" s="92">
        <v>587.54999999999995</v>
      </c>
      <c r="C453" s="17" t="s">
        <v>553</v>
      </c>
      <c r="D453" s="92">
        <v>48.089720428979902</v>
      </c>
      <c r="E453" s="92">
        <v>64.6697204289799</v>
      </c>
      <c r="F453" s="92">
        <v>1.1584597247599329</v>
      </c>
      <c r="G453" s="92">
        <v>0.84765345714141427</v>
      </c>
      <c r="H453" s="92">
        <v>0.62161253523703719</v>
      </c>
      <c r="I453" s="92">
        <v>10.829057857843434</v>
      </c>
      <c r="J453" s="92">
        <v>5.775497524183165</v>
      </c>
      <c r="K453" s="92">
        <v>6.3834446319919191</v>
      </c>
      <c r="L453" s="92"/>
      <c r="M453" s="92"/>
    </row>
    <row r="454" spans="1:13">
      <c r="A454" s="17" t="s">
        <v>557</v>
      </c>
      <c r="B454" s="92">
        <v>612.54999999999995</v>
      </c>
      <c r="C454" s="17" t="s">
        <v>236</v>
      </c>
      <c r="D454" s="92">
        <v>48.286892468962989</v>
      </c>
      <c r="E454" s="92">
        <v>64.866892468962988</v>
      </c>
      <c r="F454" s="92">
        <v>1.2127035752563942</v>
      </c>
      <c r="G454" s="92">
        <v>0.88734407945589822</v>
      </c>
      <c r="H454" s="92">
        <v>0.650718991600992</v>
      </c>
      <c r="I454" s="92">
        <v>11.324251269831036</v>
      </c>
      <c r="J454" s="92">
        <v>6.0396006772432189</v>
      </c>
      <c r="K454" s="92">
        <v>6.6753481169530309</v>
      </c>
      <c r="L454" s="92"/>
      <c r="M454" s="92"/>
    </row>
    <row r="455" spans="1:13">
      <c r="A455" s="17" t="s">
        <v>558</v>
      </c>
      <c r="B455" s="92">
        <v>637.54999999999995</v>
      </c>
      <c r="C455" s="17" t="s">
        <v>236</v>
      </c>
      <c r="D455" s="92">
        <v>48.453664317046091</v>
      </c>
      <c r="E455" s="92">
        <v>65.033664317046089</v>
      </c>
      <c r="F455" s="92">
        <v>1.2665569810986419</v>
      </c>
      <c r="G455" s="92">
        <v>0.92674901055998193</v>
      </c>
      <c r="H455" s="92">
        <v>0.67961594107732015</v>
      </c>
      <c r="I455" s="92">
        <v>11.816730615319829</v>
      </c>
      <c r="J455" s="92">
        <v>6.302256328170575</v>
      </c>
      <c r="K455" s="92">
        <v>6.9656517311358979</v>
      </c>
      <c r="L455" s="92"/>
      <c r="M455" s="92"/>
    </row>
    <row r="456" spans="1:13">
      <c r="A456" s="17" t="s">
        <v>559</v>
      </c>
      <c r="B456" s="92">
        <v>662.55</v>
      </c>
      <c r="C456" s="17" t="s">
        <v>236</v>
      </c>
      <c r="D456" s="92">
        <v>48.589702523229192</v>
      </c>
      <c r="E456" s="92">
        <v>65.169702523229191</v>
      </c>
      <c r="F456" s="92">
        <v>1.3199174036773855</v>
      </c>
      <c r="G456" s="92">
        <v>0.96579322220296504</v>
      </c>
      <c r="H456" s="92">
        <v>0.70824836294884108</v>
      </c>
      <c r="I456" s="92">
        <v>12.305783125928167</v>
      </c>
      <c r="J456" s="92">
        <v>6.5630843338283551</v>
      </c>
      <c r="K456" s="92">
        <v>7.2539353163366025</v>
      </c>
      <c r="L456" s="92"/>
      <c r="M456" s="92"/>
    </row>
    <row r="457" spans="1:13">
      <c r="A457" s="17" t="s">
        <v>560</v>
      </c>
      <c r="B457" s="92">
        <v>687.55</v>
      </c>
      <c r="C457" s="17" t="s">
        <v>236</v>
      </c>
      <c r="D457" s="92">
        <v>48.694673637512295</v>
      </c>
      <c r="E457" s="92">
        <v>65.274673637512294</v>
      </c>
      <c r="F457" s="92">
        <v>1.3726809372383346</v>
      </c>
      <c r="G457" s="92">
        <v>1.0044006857841474</v>
      </c>
      <c r="H457" s="92">
        <v>0.73656050290837471</v>
      </c>
      <c r="I457" s="92">
        <v>12.790686529949399</v>
      </c>
      <c r="J457" s="92">
        <v>6.82169948263968</v>
      </c>
      <c r="K457" s="92">
        <v>7.5397731123912237</v>
      </c>
      <c r="L457" s="92"/>
      <c r="M457" s="92"/>
    </row>
    <row r="458" spans="1:13">
      <c r="A458" s="17" t="s">
        <v>561</v>
      </c>
      <c r="B458" s="92">
        <v>725.05</v>
      </c>
      <c r="C458" s="17" t="s">
        <v>247</v>
      </c>
      <c r="D458" s="92">
        <v>48.793150089749446</v>
      </c>
      <c r="E458" s="92">
        <v>65.373150089749444</v>
      </c>
      <c r="F458" s="92">
        <v>1.4504764123754863</v>
      </c>
      <c r="G458" s="92">
        <v>1.0613242041771849</v>
      </c>
      <c r="H458" s="92">
        <v>0.77830441639660242</v>
      </c>
      <c r="I458" s="92">
        <v>13.508658704683258</v>
      </c>
      <c r="J458" s="92">
        <v>7.20461797583107</v>
      </c>
      <c r="K458" s="92">
        <v>7.9629988153922353</v>
      </c>
      <c r="L458" s="92"/>
      <c r="M458" s="92"/>
    </row>
    <row r="459" spans="1:13">
      <c r="A459" s="17" t="s">
        <v>562</v>
      </c>
      <c r="B459" s="92">
        <v>775.05</v>
      </c>
      <c r="C459" s="17" t="s">
        <v>247</v>
      </c>
      <c r="D459" s="92">
        <v>48.817999999999984</v>
      </c>
      <c r="E459" s="92">
        <v>65.397999999999982</v>
      </c>
      <c r="F459" s="92">
        <v>1.5512920268999992</v>
      </c>
      <c r="G459" s="92">
        <v>1.1350917269999994</v>
      </c>
      <c r="H459" s="92">
        <v>0.83240059979999959</v>
      </c>
      <c r="I459" s="92">
        <v>14.445715171499996</v>
      </c>
      <c r="J459" s="92">
        <v>7.7043814247999975</v>
      </c>
      <c r="K459" s="92">
        <v>8.5153689431999986</v>
      </c>
      <c r="L459" s="92"/>
      <c r="M459" s="92"/>
    </row>
    <row r="460" spans="1:13">
      <c r="A460" s="17" t="s">
        <v>563</v>
      </c>
      <c r="B460" s="92">
        <v>825.05</v>
      </c>
      <c r="C460" s="17" t="s">
        <v>247</v>
      </c>
      <c r="D460" s="92">
        <v>48.817999999999984</v>
      </c>
      <c r="E460" s="92">
        <v>65.397999999999982</v>
      </c>
      <c r="F460" s="92">
        <v>1.6513689268999994</v>
      </c>
      <c r="G460" s="92">
        <v>1.2083187269999995</v>
      </c>
      <c r="H460" s="92">
        <v>0.88610039979999966</v>
      </c>
      <c r="I460" s="92">
        <v>15.377636671499994</v>
      </c>
      <c r="J460" s="92">
        <v>8.2014062247999959</v>
      </c>
      <c r="K460" s="92">
        <v>9.064712143199996</v>
      </c>
      <c r="L460" s="92"/>
      <c r="M460" s="92"/>
    </row>
    <row r="461" spans="1:13">
      <c r="A461" s="17" t="s">
        <v>564</v>
      </c>
      <c r="B461" s="92">
        <v>875.05</v>
      </c>
      <c r="C461" s="17" t="s">
        <v>247</v>
      </c>
      <c r="D461" s="92">
        <v>48.817999999999984</v>
      </c>
      <c r="E461" s="92">
        <v>65.397999999999982</v>
      </c>
      <c r="F461" s="92">
        <v>1.7514458268999995</v>
      </c>
      <c r="G461" s="92">
        <v>1.2815457269999997</v>
      </c>
      <c r="H461" s="92">
        <v>0.93980019979999974</v>
      </c>
      <c r="I461" s="92">
        <v>16.309558171499994</v>
      </c>
      <c r="J461" s="92">
        <v>8.6984310247999979</v>
      </c>
      <c r="K461" s="92">
        <v>9.6140553431999969</v>
      </c>
      <c r="L461" s="92"/>
      <c r="M461" s="92"/>
    </row>
    <row r="462" spans="1:13">
      <c r="A462" s="17" t="s">
        <v>565</v>
      </c>
      <c r="B462" s="92">
        <v>925.05</v>
      </c>
      <c r="C462" s="17" t="s">
        <v>566</v>
      </c>
      <c r="D462" s="92">
        <v>48.817999999999984</v>
      </c>
      <c r="E462" s="92">
        <v>65.397999999999982</v>
      </c>
      <c r="F462" s="92">
        <v>1.851522726899999</v>
      </c>
      <c r="G462" s="92">
        <v>1.3547727269999992</v>
      </c>
      <c r="H462" s="92">
        <v>0.99349999979999948</v>
      </c>
      <c r="I462" s="92">
        <v>17.241479671499995</v>
      </c>
      <c r="J462" s="92">
        <v>9.1954558247999962</v>
      </c>
      <c r="K462" s="92">
        <v>10.163398543199996</v>
      </c>
      <c r="L462" s="92"/>
      <c r="M462" s="92"/>
    </row>
    <row r="463" spans="1:13">
      <c r="A463" s="17" t="s">
        <v>567</v>
      </c>
      <c r="B463" s="92">
        <v>975.05</v>
      </c>
      <c r="C463" s="17" t="s">
        <v>566</v>
      </c>
      <c r="D463" s="92">
        <v>48.817999999999984</v>
      </c>
      <c r="E463" s="92">
        <v>65.397999999999982</v>
      </c>
      <c r="F463" s="92">
        <v>1.9515996268999991</v>
      </c>
      <c r="G463" s="92">
        <v>1.4279997269999993</v>
      </c>
      <c r="H463" s="92">
        <v>1.0471997997999996</v>
      </c>
      <c r="I463" s="92">
        <v>18.173401171499993</v>
      </c>
      <c r="J463" s="92">
        <v>9.6924806247999964</v>
      </c>
      <c r="K463" s="92">
        <v>10.712741743199995</v>
      </c>
      <c r="L463" s="92"/>
      <c r="M463" s="92"/>
    </row>
    <row r="464" spans="1:13">
      <c r="A464" s="17" t="s">
        <v>568</v>
      </c>
      <c r="B464" s="92">
        <v>1050.05</v>
      </c>
      <c r="C464" s="17" t="s">
        <v>566</v>
      </c>
      <c r="D464" s="92">
        <v>48.817999999999984</v>
      </c>
      <c r="E464" s="92">
        <v>65.397999999999982</v>
      </c>
      <c r="F464" s="92">
        <v>2.101714976899999</v>
      </c>
      <c r="G464" s="92">
        <v>1.5378402269999993</v>
      </c>
      <c r="H464" s="92">
        <v>1.1277494997999997</v>
      </c>
      <c r="I464" s="92">
        <v>19.571283421499995</v>
      </c>
      <c r="J464" s="92">
        <v>10.438017824799996</v>
      </c>
      <c r="K464" s="92">
        <v>11.536756543199996</v>
      </c>
      <c r="L464" s="92"/>
      <c r="M464" s="92"/>
    </row>
    <row r="465" spans="1:13">
      <c r="A465" s="17" t="s">
        <v>569</v>
      </c>
      <c r="B465" s="92">
        <v>1150.05</v>
      </c>
      <c r="C465" s="17" t="s">
        <v>566</v>
      </c>
      <c r="D465" s="92">
        <v>48.817999999999984</v>
      </c>
      <c r="E465" s="92">
        <v>65.397999999999982</v>
      </c>
      <c r="F465" s="92">
        <v>2.3018687768999988</v>
      </c>
      <c r="G465" s="92">
        <v>1.6842942269999992</v>
      </c>
      <c r="H465" s="92">
        <v>1.2351490997999994</v>
      </c>
      <c r="I465" s="92">
        <v>21.435126421499994</v>
      </c>
      <c r="J465" s="92">
        <v>11.432067424799996</v>
      </c>
      <c r="K465" s="92">
        <v>12.635442943199996</v>
      </c>
      <c r="L465" s="92"/>
      <c r="M465" s="92"/>
    </row>
    <row r="466" spans="1:13">
      <c r="A466" s="17" t="s">
        <v>570</v>
      </c>
      <c r="B466" s="92">
        <v>1300.05</v>
      </c>
      <c r="C466" s="17" t="s">
        <v>571</v>
      </c>
      <c r="D466" s="92">
        <v>48.817999999999984</v>
      </c>
      <c r="E466" s="92">
        <v>65.397999999999982</v>
      </c>
      <c r="F466" s="92">
        <v>2.602099476899999</v>
      </c>
      <c r="G466" s="92">
        <v>1.9039752269999992</v>
      </c>
      <c r="H466" s="92">
        <v>1.3962484997999995</v>
      </c>
      <c r="I466" s="92">
        <v>24.230890921499991</v>
      </c>
      <c r="J466" s="92">
        <v>12.923141824799995</v>
      </c>
      <c r="K466" s="92">
        <v>14.283472543199993</v>
      </c>
      <c r="L466" s="92"/>
      <c r="M466" s="92"/>
    </row>
    <row r="467" spans="1:13">
      <c r="A467" s="17" t="s">
        <v>572</v>
      </c>
      <c r="B467" s="92">
        <v>1500.05</v>
      </c>
      <c r="C467" s="17" t="s">
        <v>571</v>
      </c>
      <c r="D467" s="92">
        <v>48.817999999999984</v>
      </c>
      <c r="E467" s="92">
        <v>65.397999999999982</v>
      </c>
      <c r="F467" s="92">
        <v>3.0024070768999986</v>
      </c>
      <c r="G467" s="92">
        <v>2.1968832269999989</v>
      </c>
      <c r="H467" s="92">
        <v>1.6110476997999994</v>
      </c>
      <c r="I467" s="92">
        <v>27.95857692149999</v>
      </c>
      <c r="J467" s="92">
        <v>14.911241024799995</v>
      </c>
      <c r="K467" s="92">
        <v>16.480845343199995</v>
      </c>
      <c r="L467" s="92"/>
      <c r="M467" s="92"/>
    </row>
    <row r="468" spans="1:13">
      <c r="A468" s="17" t="s">
        <v>573</v>
      </c>
      <c r="B468" s="92">
        <v>1800.05</v>
      </c>
      <c r="C468" s="17" t="s">
        <v>399</v>
      </c>
      <c r="D468" s="92">
        <v>48.817999999999984</v>
      </c>
      <c r="E468" s="92">
        <v>65.397999999999982</v>
      </c>
      <c r="F468" s="92">
        <v>3.6028684768999981</v>
      </c>
      <c r="G468" s="92">
        <v>2.6362452269999985</v>
      </c>
      <c r="H468" s="92">
        <v>1.9332464997999992</v>
      </c>
      <c r="I468" s="92">
        <v>33.550105921499991</v>
      </c>
      <c r="J468" s="92">
        <v>17.893389824799996</v>
      </c>
      <c r="K468" s="92">
        <v>19.776904543199993</v>
      </c>
      <c r="L468" s="92"/>
      <c r="M468" s="92"/>
    </row>
    <row r="469" spans="1:13">
      <c r="A469" s="17" t="s">
        <v>574</v>
      </c>
      <c r="B469" s="92">
        <v>2200.0500000000002</v>
      </c>
      <c r="C469" s="17" t="s">
        <v>399</v>
      </c>
      <c r="D469" s="92">
        <v>48.817999999999984</v>
      </c>
      <c r="E469" s="92">
        <v>65.397999999999982</v>
      </c>
      <c r="F469" s="92">
        <v>4.4034836768999988</v>
      </c>
      <c r="G469" s="92">
        <v>3.2220612269999993</v>
      </c>
      <c r="H469" s="92">
        <v>2.3628448997999998</v>
      </c>
      <c r="I469" s="92">
        <v>41.005477921499988</v>
      </c>
      <c r="J469" s="92">
        <v>21.869588224799994</v>
      </c>
      <c r="K469" s="92">
        <v>24.17165014319999</v>
      </c>
      <c r="L469" s="92"/>
      <c r="M469" s="92"/>
    </row>
    <row r="470" spans="1:13">
      <c r="A470" s="17" t="s">
        <v>575</v>
      </c>
      <c r="B470" s="92">
        <v>2700.05</v>
      </c>
      <c r="C470" s="17" t="s">
        <v>399</v>
      </c>
      <c r="D470" s="92">
        <v>48.817999999999984</v>
      </c>
      <c r="E470" s="92">
        <v>65.397999999999982</v>
      </c>
      <c r="F470" s="92">
        <v>5.4042526768999988</v>
      </c>
      <c r="G470" s="92">
        <v>3.9543312269999986</v>
      </c>
      <c r="H470" s="92">
        <v>2.8998428997999994</v>
      </c>
      <c r="I470" s="92">
        <v>50.324692921499988</v>
      </c>
      <c r="J470" s="92">
        <v>26.839836224799992</v>
      </c>
      <c r="K470" s="92">
        <v>29.665082143199992</v>
      </c>
      <c r="L470" s="92"/>
      <c r="M470" s="92"/>
    </row>
    <row r="471" spans="1:13">
      <c r="A471" s="17" t="s">
        <v>576</v>
      </c>
      <c r="B471" s="92">
        <v>3500.05</v>
      </c>
      <c r="C471" s="17" t="s">
        <v>399</v>
      </c>
      <c r="D471" s="92">
        <v>48.817999999999984</v>
      </c>
      <c r="E471" s="92">
        <v>65.397999999999982</v>
      </c>
      <c r="F471" s="92">
        <v>7.0054830768999983</v>
      </c>
      <c r="G471" s="92">
        <v>5.1259632269999988</v>
      </c>
      <c r="H471" s="92">
        <v>3.7590396997999993</v>
      </c>
      <c r="I471" s="92">
        <v>65.235436921499982</v>
      </c>
      <c r="J471" s="92">
        <v>34.792233024799991</v>
      </c>
      <c r="K471" s="92">
        <v>38.454573343199982</v>
      </c>
      <c r="L471" s="92"/>
      <c r="M471" s="92"/>
    </row>
    <row r="472" spans="1:13">
      <c r="A472" s="17" t="s">
        <v>577</v>
      </c>
      <c r="B472" s="92">
        <v>4750.05</v>
      </c>
      <c r="C472" s="17" t="s">
        <v>399</v>
      </c>
      <c r="D472" s="92">
        <v>48.817999999999984</v>
      </c>
      <c r="E472" s="92">
        <v>65.397999999999982</v>
      </c>
      <c r="F472" s="92">
        <v>9.5074055768999965</v>
      </c>
      <c r="G472" s="92">
        <v>6.9566382269999973</v>
      </c>
      <c r="H472" s="92">
        <v>5.1015346997999984</v>
      </c>
      <c r="I472" s="92">
        <v>88.533474421499989</v>
      </c>
      <c r="J472" s="92">
        <v>47.217853024799986</v>
      </c>
      <c r="K472" s="92">
        <v>52.188153343199986</v>
      </c>
      <c r="L472" s="92"/>
      <c r="M472" s="92"/>
    </row>
    <row r="473" spans="1:13">
      <c r="A473" s="41"/>
      <c r="B473" s="41"/>
      <c r="C473" s="41"/>
      <c r="D473" s="41"/>
      <c r="E473" s="41"/>
      <c r="F473" s="41"/>
      <c r="G473" s="89"/>
      <c r="H473" s="89"/>
      <c r="I473" s="41"/>
      <c r="J473" s="41"/>
      <c r="K473" s="41"/>
      <c r="L473" s="41"/>
      <c r="M473" s="41"/>
    </row>
    <row r="474" spans="1:13" s="118" customFormat="1" ht="37.5" customHeight="1">
      <c r="A474" s="117" t="s">
        <v>578</v>
      </c>
      <c r="B474" s="119"/>
      <c r="C474" s="119"/>
      <c r="D474" s="119"/>
      <c r="F474" s="119"/>
      <c r="H474" s="120"/>
      <c r="J474" s="119"/>
      <c r="K474" s="119"/>
      <c r="L474" s="119"/>
      <c r="M474" s="119"/>
    </row>
    <row r="475" spans="1:13" ht="30">
      <c r="A475" s="26" t="s">
        <v>579</v>
      </c>
      <c r="B475" s="26" t="s">
        <v>580</v>
      </c>
      <c r="C475" s="41"/>
      <c r="D475" s="41"/>
      <c r="F475" s="41"/>
      <c r="H475" s="89"/>
      <c r="J475" s="41"/>
      <c r="K475" s="41"/>
      <c r="L475" s="41"/>
      <c r="M475" s="41"/>
    </row>
    <row r="476" spans="1:13">
      <c r="A476" s="41" t="s">
        <v>234</v>
      </c>
      <c r="B476" s="41" t="s">
        <v>234</v>
      </c>
      <c r="C476" s="41"/>
      <c r="D476" s="41"/>
      <c r="F476" s="41"/>
      <c r="H476" s="89"/>
      <c r="J476" s="41"/>
      <c r="K476" s="41"/>
      <c r="L476" s="41"/>
      <c r="M476" s="41"/>
    </row>
    <row r="477" spans="1:13">
      <c r="A477" s="41" t="s">
        <v>340</v>
      </c>
      <c r="B477" s="41" t="s">
        <v>340</v>
      </c>
      <c r="C477" s="41"/>
      <c r="D477" s="41"/>
      <c r="F477" s="41"/>
      <c r="H477" s="89"/>
      <c r="J477" s="41"/>
      <c r="K477" s="41"/>
      <c r="L477" s="41"/>
      <c r="M477" s="41"/>
    </row>
    <row r="478" spans="1:13">
      <c r="A478" s="41" t="s">
        <v>391</v>
      </c>
      <c r="B478" s="41" t="s">
        <v>391</v>
      </c>
      <c r="C478" s="41"/>
      <c r="D478" s="41"/>
      <c r="F478" s="41"/>
      <c r="H478" s="89"/>
      <c r="J478" s="41"/>
      <c r="K478" s="41"/>
      <c r="L478" s="41"/>
      <c r="M478" s="41"/>
    </row>
    <row r="479" spans="1:13">
      <c r="A479" s="41"/>
      <c r="B479" s="41"/>
      <c r="C479" s="41"/>
      <c r="D479" s="41"/>
      <c r="F479" s="41"/>
      <c r="H479" s="89"/>
      <c r="I479" s="41"/>
      <c r="J479" s="41"/>
      <c r="K479" s="41"/>
      <c r="L479" s="41"/>
      <c r="M479" s="41"/>
    </row>
    <row r="480" spans="1:13" s="118" customFormat="1" ht="37.5" customHeight="1">
      <c r="A480" s="117" t="s">
        <v>581</v>
      </c>
      <c r="B480" s="119"/>
      <c r="C480" s="119"/>
      <c r="D480" s="119"/>
      <c r="F480" s="121"/>
      <c r="H480" s="119"/>
      <c r="I480" s="119"/>
      <c r="J480" s="119"/>
      <c r="K480" s="119"/>
      <c r="L480" s="119"/>
      <c r="M480" s="119"/>
    </row>
    <row r="481" spans="1:13" ht="30">
      <c r="A481" s="26" t="s">
        <v>582</v>
      </c>
      <c r="B481" s="26" t="s">
        <v>583</v>
      </c>
      <c r="C481" s="26" t="s">
        <v>584</v>
      </c>
      <c r="D481" s="41"/>
      <c r="F481" s="41"/>
      <c r="H481" s="41"/>
      <c r="I481" s="41"/>
      <c r="J481" s="41"/>
      <c r="K481" s="41"/>
      <c r="L481" s="41"/>
      <c r="M481" s="41"/>
    </row>
    <row r="482" spans="1:13">
      <c r="A482" s="93" t="s">
        <v>585</v>
      </c>
      <c r="B482" s="41" t="s">
        <v>237</v>
      </c>
      <c r="C482" s="41" t="s">
        <v>586</v>
      </c>
      <c r="D482" s="41"/>
      <c r="F482" s="41"/>
      <c r="H482" s="41"/>
      <c r="I482" s="41"/>
      <c r="J482" s="41"/>
      <c r="K482" s="41"/>
      <c r="L482" s="41"/>
      <c r="M482" s="41"/>
    </row>
    <row r="483" spans="1:13" ht="28.5">
      <c r="A483" s="93" t="s">
        <v>587</v>
      </c>
      <c r="B483" s="41" t="s">
        <v>241</v>
      </c>
      <c r="C483" s="41" t="s">
        <v>588</v>
      </c>
      <c r="D483" s="41"/>
      <c r="F483" s="41"/>
      <c r="H483" s="41"/>
      <c r="I483" s="41"/>
      <c r="J483" s="41"/>
      <c r="K483" s="41"/>
      <c r="L483" s="41"/>
      <c r="M483" s="41"/>
    </row>
    <row r="484" spans="1:13" ht="42.75">
      <c r="A484" s="93" t="s">
        <v>589</v>
      </c>
      <c r="B484" s="41" t="s">
        <v>244</v>
      </c>
      <c r="C484" s="41" t="s">
        <v>590</v>
      </c>
      <c r="D484" s="41"/>
      <c r="F484" s="41"/>
      <c r="H484" s="41"/>
      <c r="I484" s="41"/>
      <c r="J484" s="41"/>
      <c r="K484" s="41"/>
      <c r="L484" s="41"/>
      <c r="M484" s="41"/>
    </row>
    <row r="485" spans="1:13" ht="28.5">
      <c r="A485" s="41" t="s">
        <v>591</v>
      </c>
      <c r="B485" s="41" t="s">
        <v>241</v>
      </c>
      <c r="C485" s="41" t="s">
        <v>588</v>
      </c>
      <c r="D485" s="41"/>
      <c r="F485" s="41"/>
      <c r="H485" s="41"/>
      <c r="I485" s="41"/>
      <c r="J485" s="41"/>
      <c r="K485" s="41"/>
      <c r="L485" s="41"/>
      <c r="M485" s="41"/>
    </row>
    <row r="486" spans="1:13" ht="28.5">
      <c r="A486" s="41" t="s">
        <v>592</v>
      </c>
      <c r="B486" s="41" t="s">
        <v>241</v>
      </c>
      <c r="C486" s="41" t="s">
        <v>588</v>
      </c>
      <c r="D486" s="41"/>
      <c r="F486" s="41"/>
      <c r="H486" s="41"/>
      <c r="I486" s="90"/>
      <c r="J486" s="41"/>
      <c r="K486" s="41"/>
      <c r="L486" s="41"/>
      <c r="M486" s="41"/>
    </row>
    <row r="487" spans="1:13" ht="28.5">
      <c r="A487" s="93" t="s">
        <v>593</v>
      </c>
      <c r="B487" s="41" t="s">
        <v>241</v>
      </c>
      <c r="C487" s="41" t="s">
        <v>588</v>
      </c>
      <c r="D487" s="41"/>
      <c r="F487" s="41"/>
      <c r="H487" s="41"/>
      <c r="I487" s="90"/>
      <c r="J487" s="41"/>
      <c r="K487" s="41"/>
      <c r="L487" s="41"/>
      <c r="M487" s="41"/>
    </row>
    <row r="488" spans="1:13">
      <c r="A488" s="41"/>
      <c r="B488" s="89"/>
      <c r="C488" s="41"/>
      <c r="D488" s="41"/>
      <c r="F488" s="41"/>
      <c r="H488" s="41"/>
      <c r="I488" s="90"/>
      <c r="J488" s="41"/>
      <c r="K488" s="41"/>
      <c r="L488" s="41"/>
      <c r="M488" s="41"/>
    </row>
    <row r="489" spans="1:13" s="118" customFormat="1" ht="37.5" customHeight="1">
      <c r="A489" s="117" t="s">
        <v>594</v>
      </c>
      <c r="B489" s="120"/>
      <c r="C489" s="119"/>
      <c r="D489" s="119"/>
      <c r="F489" s="119"/>
      <c r="H489" s="119"/>
      <c r="I489" s="122"/>
      <c r="J489" s="119"/>
      <c r="K489" s="119"/>
      <c r="L489" s="119"/>
      <c r="M489" s="119"/>
    </row>
    <row r="490" spans="1:13" ht="30">
      <c r="A490" s="61" t="s">
        <v>223</v>
      </c>
      <c r="B490" s="61" t="s">
        <v>580</v>
      </c>
      <c r="C490" s="41"/>
      <c r="D490" s="41"/>
      <c r="F490" s="41"/>
      <c r="H490" s="41"/>
      <c r="I490" s="41"/>
      <c r="J490" s="41"/>
      <c r="K490" s="41"/>
      <c r="L490" s="41"/>
      <c r="M490" s="41"/>
    </row>
    <row r="491" spans="1:13">
      <c r="A491" s="41" t="s">
        <v>595</v>
      </c>
      <c r="B491" s="89" t="b">
        <v>1</v>
      </c>
      <c r="C491" s="41"/>
      <c r="D491" s="41"/>
      <c r="F491" s="41"/>
      <c r="H491" s="41"/>
      <c r="I491" s="41"/>
      <c r="J491" s="41"/>
      <c r="K491" s="41"/>
      <c r="L491" s="41"/>
      <c r="M491" s="41"/>
    </row>
    <row r="492" spans="1:13">
      <c r="A492" s="41" t="s">
        <v>596</v>
      </c>
      <c r="B492" s="89" t="b">
        <v>0</v>
      </c>
      <c r="C492" s="41"/>
      <c r="D492" s="41"/>
      <c r="F492" s="41"/>
      <c r="H492" s="41"/>
      <c r="I492" s="41"/>
      <c r="J492" s="41"/>
      <c r="K492" s="41"/>
      <c r="L492" s="41"/>
      <c r="M492" s="41"/>
    </row>
    <row r="493" spans="1:13">
      <c r="A493" s="41"/>
      <c r="B493" s="89"/>
      <c r="C493" s="89"/>
      <c r="D493" s="41"/>
      <c r="F493" s="41"/>
    </row>
    <row r="494" spans="1:13" s="118" customFormat="1" ht="37.5" customHeight="1">
      <c r="A494" s="117" t="s">
        <v>597</v>
      </c>
      <c r="B494" s="120"/>
      <c r="C494" s="120"/>
      <c r="D494" s="119"/>
    </row>
    <row r="495" spans="1:13" ht="15">
      <c r="A495" s="61" t="s">
        <v>598</v>
      </c>
      <c r="D495" s="41"/>
    </row>
    <row r="496" spans="1:13">
      <c r="A496" s="41" t="s">
        <v>235</v>
      </c>
      <c r="D496" s="41"/>
      <c r="E496" s="41"/>
      <c r="F496" s="41"/>
      <c r="G496" s="89"/>
      <c r="H496" s="89"/>
    </row>
    <row r="497" spans="1:8">
      <c r="A497" s="41" t="s">
        <v>255</v>
      </c>
      <c r="D497" s="41"/>
      <c r="E497" s="41"/>
      <c r="F497" s="41"/>
      <c r="G497" s="89"/>
      <c r="H497" s="89"/>
    </row>
    <row r="498" spans="1:8">
      <c r="A498" s="41" t="s">
        <v>269</v>
      </c>
      <c r="D498" s="41"/>
      <c r="E498" s="41"/>
      <c r="F498" s="41"/>
      <c r="G498" s="89"/>
      <c r="H498" s="89"/>
    </row>
    <row r="499" spans="1:8">
      <c r="A499" s="41" t="s">
        <v>278</v>
      </c>
      <c r="D499" s="41"/>
      <c r="E499" s="41"/>
      <c r="F499" s="41"/>
      <c r="G499" s="89"/>
      <c r="H499" s="89"/>
    </row>
    <row r="500" spans="1:8">
      <c r="A500" s="41" t="s">
        <v>291</v>
      </c>
      <c r="D500" s="41"/>
      <c r="E500" s="41"/>
      <c r="F500" s="41"/>
      <c r="G500" s="89"/>
      <c r="H500" s="89"/>
    </row>
    <row r="501" spans="1:8">
      <c r="A501" s="41" t="s">
        <v>303</v>
      </c>
      <c r="D501" s="41"/>
      <c r="E501" s="41"/>
      <c r="F501" s="41"/>
      <c r="G501" s="89"/>
      <c r="H501" s="89"/>
    </row>
    <row r="502" spans="1:8">
      <c r="A502" s="41" t="s">
        <v>599</v>
      </c>
      <c r="D502" s="41"/>
      <c r="E502" s="41"/>
      <c r="F502" s="41"/>
      <c r="G502" s="89"/>
      <c r="H502" s="89"/>
    </row>
    <row r="503" spans="1:8">
      <c r="A503" s="41" t="s">
        <v>314</v>
      </c>
      <c r="D503" s="41"/>
      <c r="E503" s="41"/>
      <c r="F503" s="41"/>
      <c r="G503" s="89"/>
      <c r="H503" s="89"/>
    </row>
    <row r="504" spans="1:8">
      <c r="A504" s="41" t="s">
        <v>327</v>
      </c>
      <c r="D504" s="41"/>
      <c r="E504" s="41"/>
      <c r="F504" s="41"/>
      <c r="G504" s="89"/>
      <c r="H504" s="89"/>
    </row>
    <row r="505" spans="1:8">
      <c r="A505" s="90" t="s">
        <v>532</v>
      </c>
      <c r="D505" s="41"/>
      <c r="E505" s="41"/>
      <c r="F505" s="41"/>
      <c r="G505" s="89"/>
      <c r="H505" s="89"/>
    </row>
    <row r="506" spans="1:8">
      <c r="A506" s="90" t="s">
        <v>534</v>
      </c>
      <c r="D506" s="41"/>
      <c r="E506" s="41"/>
      <c r="F506" s="41"/>
      <c r="G506" s="89"/>
      <c r="H506" s="89"/>
    </row>
    <row r="507" spans="1:8">
      <c r="A507" s="90" t="s">
        <v>535</v>
      </c>
      <c r="D507" s="41"/>
      <c r="E507" s="41"/>
      <c r="F507" s="41"/>
      <c r="G507" s="89"/>
      <c r="H507" s="89"/>
    </row>
    <row r="508" spans="1:8">
      <c r="A508" s="90" t="s">
        <v>536</v>
      </c>
      <c r="D508" s="41"/>
      <c r="E508" s="41"/>
      <c r="F508" s="41"/>
      <c r="G508" s="89"/>
      <c r="H508" s="89"/>
    </row>
    <row r="509" spans="1:8">
      <c r="A509" s="41" t="s">
        <v>537</v>
      </c>
      <c r="D509" s="41"/>
      <c r="E509" s="41"/>
      <c r="F509" s="41"/>
      <c r="G509" s="89"/>
      <c r="H509" s="89"/>
    </row>
    <row r="510" spans="1:8">
      <c r="A510" s="41" t="s">
        <v>538</v>
      </c>
      <c r="D510" s="41"/>
      <c r="E510" s="41"/>
      <c r="F510" s="41"/>
      <c r="G510" s="89"/>
      <c r="H510" s="89"/>
    </row>
    <row r="511" spans="1:8">
      <c r="A511" s="41" t="s">
        <v>539</v>
      </c>
      <c r="D511" s="41"/>
      <c r="E511" s="41"/>
      <c r="F511" s="41"/>
      <c r="G511" s="89"/>
      <c r="H511" s="89"/>
    </row>
    <row r="512" spans="1:8">
      <c r="A512" s="87" t="s">
        <v>533</v>
      </c>
      <c r="D512" s="41"/>
      <c r="E512" s="41"/>
      <c r="F512" s="41"/>
      <c r="G512" s="89"/>
      <c r="H512" s="89"/>
    </row>
    <row r="514" spans="1:1" s="118" customFormat="1" ht="37.5" customHeight="1">
      <c r="A514" s="117" t="s">
        <v>600</v>
      </c>
    </row>
    <row r="515" spans="1:1" ht="15">
      <c r="A515" s="61" t="s">
        <v>601</v>
      </c>
    </row>
    <row r="516" spans="1:1">
      <c r="A516" s="41" t="s">
        <v>235</v>
      </c>
    </row>
    <row r="517" spans="1:1">
      <c r="A517" s="41" t="s">
        <v>255</v>
      </c>
    </row>
    <row r="518" spans="1:1">
      <c r="A518" s="41" t="s">
        <v>269</v>
      </c>
    </row>
    <row r="519" spans="1:1">
      <c r="A519" s="41" t="s">
        <v>278</v>
      </c>
    </row>
    <row r="520" spans="1:1">
      <c r="A520" s="41" t="s">
        <v>291</v>
      </c>
    </row>
    <row r="521" spans="1:1">
      <c r="A521" s="41" t="s">
        <v>303</v>
      </c>
    </row>
    <row r="522" spans="1:1">
      <c r="A522" s="41" t="s">
        <v>314</v>
      </c>
    </row>
    <row r="523" spans="1:1">
      <c r="A523" s="41" t="s">
        <v>327</v>
      </c>
    </row>
    <row r="524" spans="1:1">
      <c r="A524" s="90" t="s">
        <v>532</v>
      </c>
    </row>
    <row r="525" spans="1:1">
      <c r="A525" s="90" t="s">
        <v>534</v>
      </c>
    </row>
    <row r="526" spans="1:1">
      <c r="A526" s="90" t="s">
        <v>535</v>
      </c>
    </row>
    <row r="527" spans="1:1">
      <c r="A527" s="90" t="s">
        <v>536</v>
      </c>
    </row>
    <row r="528" spans="1:1">
      <c r="A528" s="41" t="s">
        <v>537</v>
      </c>
    </row>
    <row r="529" spans="1:1">
      <c r="A529" s="41" t="s">
        <v>538</v>
      </c>
    </row>
    <row r="530" spans="1:1">
      <c r="A530" s="41" t="s">
        <v>539</v>
      </c>
    </row>
    <row r="531" spans="1:1">
      <c r="A531" s="41" t="s">
        <v>533</v>
      </c>
    </row>
    <row r="533" spans="1:1" s="118" customFormat="1" ht="37.5" customHeight="1">
      <c r="A533" s="117" t="s">
        <v>602</v>
      </c>
    </row>
    <row r="534" spans="1:1" ht="15">
      <c r="A534" s="61" t="s">
        <v>603</v>
      </c>
    </row>
    <row r="535" spans="1:1">
      <c r="A535" s="41" t="e" cm="1" vm="1">
        <f t="array" ref="A535">_xlfn._xlws.SORT(_xlfn.UNIQUE(_xlfn._xlws.FILTER(Nutrients_from_future_land_use!$A$5:$A$21,Nutrients_from_future_land_use!$A$5:$A$21&lt;&gt;"")))</f>
        <v>#VALUE!</v>
      </c>
    </row>
  </sheetData>
  <sheetProtection algorithmName="SHA-512" hashValue="gGJ1iU2dY96ePnrgFe8Hg4jbH1mOQo1X+MFC8CLzKoZqURokOuzP+JTADG3eJg14Gl6Z3UWKXkMJNsQSK7r07A==" saltValue="FuwDjPtb26Xe6WWkMdUjGg==" spinCount="100000" sheet="1" objects="1" scenarios="1"/>
  <phoneticPr fontId="8" type="noConversion"/>
  <dataValidations count="1">
    <dataValidation allowBlank="1" showInputMessage="1" showErrorMessage="1" prompt="This value is dependent on the rainfall volume." sqref="G444:H446 G440:H440"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70AF0-BC99-4EE0-9479-825860D2F995}"/>
</file>

<file path=customXml/itemProps2.xml><?xml version="1.0" encoding="utf-8"?>
<ds:datastoreItem xmlns:ds="http://schemas.openxmlformats.org/officeDocument/2006/customXml" ds:itemID="{64C1BBF9-9B3E-4827-BF16-821C5036B885}"/>
</file>

<file path=customXml/itemProps3.xml><?xml version="1.0" encoding="utf-8"?>
<ds:datastoreItem xmlns:ds="http://schemas.openxmlformats.org/officeDocument/2006/customXml" ds:itemID="{05C5CCDB-2005-4CAA-8BFD-CD049891CEDA}"/>
</file>

<file path=customXml/itemProps4.xml><?xml version="1.0" encoding="utf-8"?>
<ds:datastoreItem xmlns:ds="http://schemas.openxmlformats.org/officeDocument/2006/customXml" ds:itemID="{4E6A12FC-BB1B-4E54-B358-BBABDD5105C6}"/>
</file>

<file path=customXml/itemProps5.xml><?xml version="1.0" encoding="utf-8"?>
<ds:datastoreItem xmlns:ds="http://schemas.openxmlformats.org/officeDocument/2006/customXml" ds:itemID="{59FD5A19-6478-4269-BB0E-247EFB376C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Thompson, Simon</cp:lastModifiedBy>
  <cp:revision/>
  <dcterms:created xsi:type="dcterms:W3CDTF">2021-10-14T13:24:34Z</dcterms:created>
  <dcterms:modified xsi:type="dcterms:W3CDTF">2024-01-25T20:08:44Z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