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updateLinks="never" defaultThemeVersion="166925"/>
  <mc:AlternateContent xmlns:mc="http://schemas.openxmlformats.org/markup-compatibility/2006">
    <mc:Choice Requires="x15">
      <x15ac:absPath xmlns:x15ac="http://schemas.microsoft.com/office/spreadsheetml/2010/11/ac" url="Q:\Delivery\Projects\IAU\WandE\ED18355 Nutrient Budget Calculator Update (Theo Cox)\3 Project Delivery\2 Final Deliverable\Nutrient_Budget_Calculators_V02_2_240124\"/>
    </mc:Choice>
  </mc:AlternateContent>
  <xr:revisionPtr revIDLastSave="16" documentId="8_{F49F8494-70F2-41F4-BE03-D9A139B60D32}" xr6:coauthVersionLast="47" xr6:coauthVersionMax="47" xr10:uidLastSave="{4C50824B-6040-49F4-A7F4-CDA65E7A346A}"/>
  <workbookProtection workbookAlgorithmName="SHA-512" workbookHashValue="JN7zpy3xwCoqAZA65F6GJy+G+Ll+gdYnOUnMFHpZUK/XX40zUsAFhu55ZhFnLdk2cXfJTlX2fp6sF0WE0HJ+JQ==" workbookSaltValue="t7Xdsbw5QkPpbzaLagmbPQ==" workbookSpinCount="100000" lockStructure="1"/>
  <bookViews>
    <workbookView xWindow="-120" yWindow="-120" windowWidth="29040" windowHeight="15840" tabRatio="801" firstSheet="1" xr2:uid="{82A04952-E2FF-4A89-87AE-39010027FF5F}"/>
  </bookViews>
  <sheets>
    <sheet name="About_the_calculator"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21" l="1"/>
  <c r="A11" i="10" s="1"/>
  <c r="B10" i="21"/>
  <c r="B12" i="21"/>
  <c r="A20" i="21"/>
  <c r="A15" i="21"/>
  <c r="A12" i="21"/>
  <c r="A9" i="10"/>
  <c r="H292" i="3"/>
  <c r="A11" i="21"/>
  <c r="A22" i="21"/>
  <c r="C11" i="8"/>
  <c r="H296" i="3"/>
  <c r="B11" i="21" l="1"/>
  <c r="D5" i="22"/>
  <c r="D7" i="22"/>
  <c r="D8" i="22"/>
  <c r="D9" i="22"/>
  <c r="D10" i="22"/>
  <c r="D11" i="22"/>
  <c r="D12" i="22"/>
  <c r="D13" i="22"/>
  <c r="D14" i="22"/>
  <c r="D15" i="22"/>
  <c r="D16" i="22"/>
  <c r="D17" i="22"/>
  <c r="D18" i="22"/>
  <c r="D19" i="22"/>
  <c r="D20" i="22"/>
  <c r="D21" i="22"/>
  <c r="D22" i="22"/>
  <c r="D23" i="22"/>
  <c r="D24" i="22"/>
  <c r="D25" i="22"/>
  <c r="D26" i="22"/>
  <c r="D27" i="22"/>
  <c r="D28" i="22"/>
  <c r="D15" i="8"/>
  <c r="D16" i="8"/>
  <c r="D17" i="8"/>
  <c r="D18" i="8"/>
  <c r="D19" i="8"/>
  <c r="D20" i="8"/>
  <c r="D21" i="8"/>
  <c r="D22" i="8"/>
  <c r="D23" i="8"/>
  <c r="D24" i="8"/>
  <c r="D25" i="8"/>
  <c r="D26" i="8"/>
  <c r="D27" i="8"/>
  <c r="D12" i="8"/>
  <c r="D13" i="8"/>
  <c r="D14" i="8"/>
  <c r="B20" i="21" l="1"/>
  <c r="B22" i="21"/>
  <c r="A21" i="21" s="1"/>
  <c r="H4" i="22"/>
  <c r="A385" i="3" l="1" a="1"/>
  <c r="A385" i="3" s="1"/>
  <c r="G5" i="22"/>
  <c r="G7" i="22"/>
  <c r="G8" i="22"/>
  <c r="G9" i="22"/>
  <c r="G10" i="22"/>
  <c r="G11" i="22"/>
  <c r="G12" i="22"/>
  <c r="G13" i="22"/>
  <c r="G14" i="22"/>
  <c r="G15" i="22"/>
  <c r="G16" i="22"/>
  <c r="G17" i="22"/>
  <c r="G18" i="22"/>
  <c r="G19" i="22"/>
  <c r="G20" i="22"/>
  <c r="G21" i="22"/>
  <c r="G22" i="22"/>
  <c r="G23" i="22"/>
  <c r="G24" i="22"/>
  <c r="G25" i="22"/>
  <c r="G26" i="22"/>
  <c r="G27" i="22"/>
  <c r="G28" i="22"/>
  <c r="H5" i="22"/>
  <c r="H6" i="22"/>
  <c r="H7" i="22"/>
  <c r="H8" i="22"/>
  <c r="H9" i="22"/>
  <c r="H10" i="22"/>
  <c r="H11" i="22"/>
  <c r="H12" i="22"/>
  <c r="H13" i="22"/>
  <c r="H14" i="22"/>
  <c r="H15" i="22"/>
  <c r="H16" i="22"/>
  <c r="H17" i="22"/>
  <c r="H18" i="22"/>
  <c r="H19" i="22"/>
  <c r="H20" i="22"/>
  <c r="H21" i="22"/>
  <c r="H22" i="22"/>
  <c r="H23" i="22"/>
  <c r="H24" i="22"/>
  <c r="H25" i="22"/>
  <c r="H26" i="22"/>
  <c r="H27" i="22"/>
  <c r="H28" i="22"/>
  <c r="B29" i="22" l="1"/>
  <c r="C13" i="8" l="1"/>
  <c r="B16" i="21"/>
  <c r="B17" i="21" s="1"/>
  <c r="A12" i="10"/>
  <c r="B18" i="21" l="1"/>
  <c r="H298" i="3" l="1"/>
  <c r="H297" i="3"/>
  <c r="C17" i="8" l="1"/>
  <c r="C7" i="9" l="1"/>
  <c r="C8" i="9"/>
  <c r="C9" i="9"/>
  <c r="C10" i="9"/>
  <c r="C11" i="9"/>
  <c r="C12" i="9"/>
  <c r="C13" i="9"/>
  <c r="F298" i="3" l="1"/>
  <c r="F297" i="3"/>
  <c r="F296" i="3"/>
  <c r="F295" i="3"/>
  <c r="F294" i="3"/>
  <c r="F293" i="3"/>
  <c r="F292" i="3"/>
  <c r="F291" i="3"/>
  <c r="D11" i="8"/>
  <c r="C6" i="9" l="1"/>
  <c r="D4" i="22" s="1"/>
  <c r="C5" i="9"/>
  <c r="C12" i="8"/>
  <c r="C25" i="8"/>
  <c r="C24" i="8"/>
  <c r="C16" i="8"/>
  <c r="C22" i="8"/>
  <c r="C14" i="8"/>
  <c r="C23" i="8"/>
  <c r="C15" i="8"/>
  <c r="C18" i="8"/>
  <c r="C21" i="8"/>
  <c r="C26" i="8"/>
  <c r="C20" i="8"/>
  <c r="C19" i="8"/>
  <c r="C16" i="9"/>
  <c r="C17" i="9"/>
  <c r="C18" i="9"/>
  <c r="C19" i="9"/>
  <c r="C20" i="9"/>
  <c r="C15" i="9"/>
  <c r="C14" i="9"/>
  <c r="C27" i="8"/>
  <c r="D6" i="22" l="1"/>
  <c r="G6" i="22" s="1"/>
  <c r="B5" i="10"/>
  <c r="G4" i="22"/>
  <c r="C21" i="9"/>
  <c r="D29" i="22" l="1"/>
  <c r="G29" i="22"/>
  <c r="C28" i="8"/>
  <c r="C22" i="9"/>
  <c r="B6" i="10" l="1"/>
  <c r="B7" i="10" s="1"/>
  <c r="B12" i="10" l="1"/>
  <c r="B14" i="10"/>
  <c r="B22" i="9"/>
  <c r="B28" i="8"/>
  <c r="B8" i="10" l="1"/>
  <c r="B10" i="10" s="1"/>
  <c r="A13" i="10"/>
  <c r="A14" i="10"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<sst xmlns="http://schemas.openxmlformats.org/spreadsheetml/2006/main" count="1861" uniqueCount="440">
  <si>
    <t>Natural England Nutrient Neutrality budget calculator for the River Wensum SAC</t>
  </si>
  <si>
    <t>This tool contains six worksheets with nine tables in total, as well as an additional worksheet hidden from the user.</t>
  </si>
  <si>
    <t>This is the instructions sheet. It contains instructions on how to use the tool and provides an overview of each worksheet. This worksheet contains two tables.</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</si>
  <si>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</si>
  <si>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</si>
  <si>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(both have a similar effect to a right click), then press the letter 'O' twice to highlight 'Open Hyperlink' and press 'Enter'.</t>
  </si>
  <si>
    <t>If you use a keyboard only, any drop-down lists can be accessed by clicking the dropdown arrow or pressing the 'Alt' + 'Down' keys when the cell is selected.</t>
  </si>
  <si>
    <t>Table of contents</t>
  </si>
  <si>
    <t>Topic of each table</t>
  </si>
  <si>
    <t>Link to each worksheet</t>
  </si>
  <si>
    <t>Worksheet 1 (Nutrients_from_wastewater): Nutrient loading from additional wastewater</t>
  </si>
  <si>
    <t>Nutrients from wastewater</t>
  </si>
  <si>
    <t>Worksheet 2 (Nutrients_from_current_land_use): Nutrient loading from current land use</t>
  </si>
  <si>
    <t>Nutrients from current land use</t>
  </si>
  <si>
    <t>Worksheet 3 (Nutrients_from_future_land_use): Nutrient loading from future land use</t>
  </si>
  <si>
    <t>Nutrients from future land use</t>
  </si>
  <si>
    <t>Worksheet 4 (SuDS): Nutrient loading from future land use after treatment through a sustainable urban drainage system (SuDS)</t>
  </si>
  <si>
    <t>SuDS</t>
  </si>
  <si>
    <t>Worksheet 5 (Final_nutrient_budgets): Nutrient budget calculations</t>
  </si>
  <si>
    <t>Final_nutrient_budgets</t>
  </si>
  <si>
    <t>General information about the calculator</t>
  </si>
  <si>
    <t xml:space="preserve">This tool provides a step-by-step approach to calculating the nutrient budget for a new residential development.  </t>
  </si>
  <si>
    <t>The nutrient budget for a site is calculated in four key stages with an additional optional stage in which information about the SuDS features on the site can be entered. Each stage is implemented in worksheets 1-5 of this workbook.</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</si>
  <si>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</si>
  <si>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</si>
  <si>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in question need to be determined.  </t>
  </si>
  <si>
    <t>There is a guidance webpage that accompanies this calculator and provides further information on the user inputs required.</t>
  </si>
  <si>
    <t>The required details and instructions for completing each stage of the nutrient budget methodology are shown in cell A2 of each worksheet.</t>
  </si>
  <si>
    <t>This tool uses a set of lookup tables to find relevant values in a hidden spreadsheet titled the 'Value_look_up_tables' worksheet.</t>
  </si>
  <si>
    <t xml:space="preserve">It is advisable to retain a blank copy of this workbook and 'Save As' a new copy each time you calculate a budget to minimise the risk of using incorrect data inputs and to ease the calculation of new nutrient budgets.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</si>
  <si>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t>
  </si>
  <si>
    <t xml:space="preserve">If editing any values in this tool, you must make sure there is a sufficient evidence base to justify these changes and that the new inputs are selected in accordance with the precautionary principle.  </t>
  </si>
  <si>
    <t>Notes about the nutrients from wastewater worksheet</t>
  </si>
  <si>
    <t xml:space="preserve">This sheet contains two tables. </t>
  </si>
  <si>
    <t>The first table titled 'Table_3_Water_Infrastructure'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</si>
  <si>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two or three values for the permits and nutrients load from before and after the upgrade.</t>
  </si>
  <si>
    <t>The amount of wastewater generated as a result of the population needs to be calculated using an average occupancy rate, a per capita water usage figure, and the number of new developments. The default water usage value is preset in the worksheet. The default setting for the average occupancy rate is preset in the worksheet and is the national occupancy rate of 2.4 people per dwelling/unit. Only change this value if there is sufficient evidence that the development will be different to the national average. The number of new developments is not preset and must be a whole number.</t>
  </si>
  <si>
    <t>If it is uncertain what WwTW the development will drain into, please find this information from your sewerage company before completing the calculator. If it is not feasible to connect to a WwTW and a septic tank or package treatment plant is being used, please select this option. Please be aware that if the total phosphorus (TP) final effluent concentrations (in mg/l) are specified by the manufacturer, please select 'Septic Tank user defined' or 'Package Treatment Plant user defined' and enter the manufacturer specified value in the cell where prompted.</t>
  </si>
  <si>
    <t>The second table titled 'Table_4_Wastewater_Load' under the heading 'Final calculation of nutrient load from wastewater' contains the calculation of the nutrient load from additional wastewater. This table may present up to three different values for the nutrient load.</t>
  </si>
  <si>
    <t xml:space="preserve">If a nutrient permit is changing for the selected WwTW as of 01/01/2025, or 01/04/2030 ,the second table will be broken down into up to three parts: 'Post-2030 Stage 1 Nutrient Loading',  'Pre-2030 Stage 1 Nutrient Loading', and  'Pre-2025 Stage 1 Nutrient Loading'. If applicable, three nutrient budgets will be calculated for the loading before and after the 2030 and 2025 WwTW permit upgrades, and will be presented in cells B18, B20, or B22, if applicable. </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</si>
  <si>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</si>
  <si>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</si>
  <si>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eight agricultural landcover types and eight different non-agricultural landcover types. The full list of landcovers can be found in the associated guidance webpage or in the drop-down list. Please find out what landcover types are within the development before completing this tool. If there is a landcover within the development area that is not in the list please select the most similar landcover type.</t>
  </si>
  <si>
    <t>The guidance webpage that accompanies this calculator provides further information about the landcover types used in this tool.</t>
  </si>
  <si>
    <t>Sources of information required for nutrients from current land use worksheet</t>
  </si>
  <si>
    <t>Description of the information:</t>
  </si>
  <si>
    <t>Link</t>
  </si>
  <si>
    <t>The Operational Catchment within which the development is located can be found using the Environment Agency Catchment Data Explorer</t>
  </si>
  <si>
    <t>Environment Agency Catchment Data Explorer</t>
  </si>
  <si>
    <t>The drainage associated with the predominant soil type within the development site can be found using the Soilscapes Map</t>
  </si>
  <si>
    <t>Soilscapes</t>
  </si>
  <si>
    <t>The annual average rainfall that the development will receive can be found using the National River Flow Archive for the '34004- Wensum at Costessey Mill' station</t>
  </si>
  <si>
    <t>National River Flow Archive</t>
  </si>
  <si>
    <t>Whether the development is located within a Nitrate Vulnerable Zone (NVZ) can be found using the UK Soil Observatory 'Nitrate Vulnerable Zones - England' map</t>
  </si>
  <si>
    <t>UK Soil Observatory</t>
  </si>
  <si>
    <t>Notes about the nutrients from future land use worksheet</t>
  </si>
  <si>
    <t xml:space="preserve">This worksheet contains a single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</si>
  <si>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eight different landcover types: greenspace, woodland, shrub, water, residential urban land, commercial/industrial urban land, open urban land and community food growing. Please find out what landcover types will be within the development site before completing this tool. If there is a landcover within the development site that is not in the list please select the most similar landcover type.</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</si>
  <si>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</si>
  <si>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</si>
  <si>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'Nutrients_from_future_land_use' worksheet can be selected. The nutrient loads associated with these landcovers are automatically calculated using the values from the worksheet 'Nutrient_loading_from_future_land_use'. The user must enter the percentage of flow that will be directed through the SuDS. Any numerical value less than or equal to 100% can be entered for the percentage of flow. Any numerical value less than or equal to 100% can be entered for the removal rates. The user can enter any text for the SuDS feature to allow for variability in the names of the SuDS features / management trains planned.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t>
  </si>
  <si>
    <t>Notes about the final nutrient budgets</t>
  </si>
  <si>
    <t>This final stage automatically calculates the results from worksheets 1-5 using the equation described in 'General information about the calculator'.</t>
  </si>
  <si>
    <t>The value(s) shown represent the nutrient mitigation required in kilograms per year to achieve nutrient neutrality.</t>
  </si>
  <si>
    <t>If there are two or three values due to changing permits, the calculator will show the total amount of nutrient mitigation that is needed before and after the changing permit date.</t>
  </si>
  <si>
    <t>This sheet contains two tables. The tables are seperated by a heading in the 'Headings 2' style, which describes the following table. The first table 'Table_3_Water_Infrastructure' may contain blank cells in rows 11 to 12 and column C. User inputs are required for cells B5 to B9. In addition, user inputs are required in C10 depending on the information entered by the user. The second table 'Table_4_Wastewater_Load' may contain blank cells in rows 19 to 22. No user inputs are required in this table.
You can enter the average occupancy rate of the development in cell B6. The default rate is 2.4, this should not be edited without sufficient evidence.
You can enter the water usage in cell B7. This value should be kept at 120 unless other efficiency measures are used.
You can enter the total number of dwellings/units that will be within the development site as of the project completion date in cell B8.
You can choose the receiving WwTW from the drop-down list in cell B9. The drop-down lists can be accessed by clicking the arrow or pressing the 'Alt' + 'Down' keys when the cell is selected. If the user selects 'Package Treatment Plant user defined' or 'Septic Tank user defined', the user must enter their certified value of TP in cell C10. Otherwise the default values will be used in the calculation of the nutrient load associated with wastewater. 
Nutrient permits may be changing for the WwTW selected by the user as of 01/01/2025, or 01/04/2030. If the date of first occupancy is in-between changing permit dates, multiple permit limits may be automatically generated in cell B10 to B12. If applicable, up to three values for the nutrient loading associated with wastewater will be calculated for the loading will be presented in cell B18, B20, or B22.</t>
  </si>
  <si>
    <t>Water infrastructure information</t>
  </si>
  <si>
    <t>Description of required information</t>
  </si>
  <si>
    <t>Data entry column</t>
  </si>
  <si>
    <t>Additional data entry column</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</si>
  <si>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</si>
  <si>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</si>
  <si>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</si>
  <si>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</si>
  <si>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</si>
  <si>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</si>
  <si>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</si>
  <si>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</si>
  <si>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</si>
  <si>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</si>
  <si>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</si>
  <si>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</si>
  <si>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</si>
  <si>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t xml:space="preserve">This sheet contains two tables. The tables are seperated by a heading in the 'Headings 2' style, which describe the following table. The first table 'Table_5_Site_Information' requires user inputs in cells B5 to B8. The second table 'Table_6_Current_Land_Uses' requires user inputs in cells A11 to A27 and B11 to B27. The remaining columns are automatically calculated. The final Column (Column D) titled 'Notes on data' will remain empty unless the data automatically generated data has been extrapolated.
You can choose the Operational Catchment the site is located within from the drop-down list in cell B5. The drop-down lists can be accessed by clicking the arrow or pressing the 'Alt' + 'Down' keys when the cell is selected.
You can choose the soil drainage type associated with the predominant soil type within the development site from the drop-down list in cell B6. 
You can choose the annual average rainfall the development will receive from the drop-down list in cell B7. If the rainfall volume is not on the list, please select the nearest value.
You can choose whether the development is in a Nitrate Vulnerable Zone (NVZ) from the drop-down list in cell B8. 
You can choose the existing (pre-development) land use type(s) from the drop-down list in cells A11-A27. You can enter the area(s) (in hectares) of each land use type in cells B11-B27.
The nutrient load from current land uses is shown in cell C11-C27.
The total nutrient load from current land uses is shown in cell C28.
</t>
  </si>
  <si>
    <t>Current land use information</t>
  </si>
  <si>
    <t>Data entry Column</t>
  </si>
  <si>
    <t>Operational Catchment:</t>
  </si>
  <si>
    <t>Soil drainage type:</t>
  </si>
  <si>
    <t>Annual average rainfall (mm):</t>
  </si>
  <si>
    <t>Within Nitrate Vulnerable Zone (NVZ):</t>
  </si>
  <si>
    <t>Current land uses</t>
  </si>
  <si>
    <t>Existing land use type(s)</t>
  </si>
  <si>
    <t>Area (ha)</t>
  </si>
  <si>
    <t>Annual phosphorus export  
(kg TP/yr)</t>
  </si>
  <si>
    <t>Notes on data</t>
  </si>
  <si>
    <t>Totals:</t>
  </si>
  <si>
    <t>This sheet contains one table. The table 'Table_7_Future_Land_Uses' requires user inputs in cells A5 to A21 and B5 to B21. The remaining columns are automatically calculated.
You can choose the future (post-development) land use type(s) of landcover present on the new site from the drop-down list in cells A5-A21. The drop-down lists can be accessed by clicking the arrow or pressing the 'Alt' + 'Down' keys when the cell is selected.
You can enter the area(s) (in hectares) of each land use type in cells B5-B21.
The nutrient load from future land uses is shown in cell C5-C21.
The total nutrient load from future land uses is shown in cell C22.</t>
  </si>
  <si>
    <t>Future land uses</t>
  </si>
  <si>
    <t>New land use type(s)</t>
  </si>
  <si>
    <t>Annual phosphorus export
(kg TP/yr)</t>
  </si>
  <si>
    <t>Nutrients from future land use after SuDS treatment</t>
  </si>
  <si>
    <t>This sheet contains one table. 'Table_8_SuDS_Features' requires user inputs in cells A4 to C28 and E4 to F28 if the user is including SuDS to remove nutrients from the surface runoff. The remaining columns are automatically calculated.
You can choose the future (post-development) land use type(s) of landcover present on the new site within the SuDS catchment area from the drop-down list in cells A4-A28. Only landcovers entered into the worksheet titled 'Nutrient_from_Future_Land_use' can be entered. The drop-down lists can be accessed by clicking the arrow or pressing the 'Alt' + 'Down' keys when the cell is selected.
You can enter the area(s) (in hectares) of each new land use type within the SuDS catchment area in cells B4-B28.
The percentage of the flow entering the SuDS feature can be entered in Column C4-C28. If all flow is being diverted to the SuDS feature then this value should be set to 100%.
The annual TP load associated with the landcovers in the SuDS catchment area are automatically calculated in cells D4-D28.
The name of the SuDS features used to intercept surface flows can be entered in E4-E28. Any text can be entered into these cells.
The nutrient removal rates associated with the SuDS features can be entered into F4-F28. These values must be identified by the user and must be specific to the SuDS features being implemented.
The annual TP load removed by the SuDS features are automatically calculated in cells G4-G28. These values are subtracted from the nutrient budget.
The 'Notes on data' column (Column H) does not require user inputs. This cell will be blank unless the cumulative area of each landcover within the SuDS catchment area exceeds the area of the landcovers entered into the worksheet titled 'Nutrients_from_future_land_use'.
The total nutrient load removed through the SuDS features is shown in cell G29.</t>
  </si>
  <si>
    <t>New land use type(s) within SuDS catchment area</t>
  </si>
  <si>
    <t>SuDS catchment area (ha)</t>
  </si>
  <si>
    <t>Percentage of flow entering the SuDS (%)</t>
  </si>
  <si>
    <t>Annual phosphorus inputs to SuDS feature(s)
(kg T/yr)</t>
  </si>
  <si>
    <t>Name of SuDS feature(s)</t>
  </si>
  <si>
    <t>TP removal rate for features - user specified (%)</t>
  </si>
  <si>
    <t>Annual phosphorus load removed by SuDS
(kg TP/yr)</t>
  </si>
  <si>
    <t>Final nutrient budgets</t>
  </si>
  <si>
    <t>This worksheet contains one table 'Table_9_Final_Nutrient_Budgets'. This table is automatically populated using the outputs from the previous worksheets. It presents calculations that underpin the final annual nutrient budget for the development site. If applicable, up to three values for the nutrient budget may be presented in cells B10, B12, or B14. Some cells may be empty if there are no changing permits.</t>
  </si>
  <si>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</si>
  <si>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</si>
  <si>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</si>
  <si>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</si>
  <si>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</si>
  <si>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</si>
  <si>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</si>
  <si>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</si>
  <si>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</si>
  <si>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</si>
  <si>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</si>
  <si>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</si>
  <si>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Billingford STW</t>
  </si>
  <si>
    <t>Bircham Fring Road STW</t>
  </si>
  <si>
    <t>Bircham Newton (Monks Close) WRC</t>
  </si>
  <si>
    <t>Brisley Hsw</t>
  </si>
  <si>
    <t>Bylaugh Water Recycling Centre</t>
  </si>
  <si>
    <t>Dereham WRC</t>
  </si>
  <si>
    <t>East Bilney STW</t>
  </si>
  <si>
    <t>Fakenham (Old And New) WRC</t>
  </si>
  <si>
    <t>Foulsham Water Recycling Centre</t>
  </si>
  <si>
    <t>Gateley STW</t>
  </si>
  <si>
    <t>Hindolveston Oxigest</t>
  </si>
  <si>
    <t>Little Fransham Cro STW</t>
  </si>
  <si>
    <t>Little Fransham(Gc) STW</t>
  </si>
  <si>
    <t>North Elmham STW</t>
  </si>
  <si>
    <t>Reepham Water Recycling Centre</t>
  </si>
  <si>
    <t>Sculthorpe STW</t>
  </si>
  <si>
    <t>South Raynham Hsw</t>
  </si>
  <si>
    <t>Sparham Norwich Road WRC</t>
  </si>
  <si>
    <t>Sparham (Wells Close)</t>
  </si>
  <si>
    <t>Stanfield STW</t>
  </si>
  <si>
    <t>Stibbard Moor End STW</t>
  </si>
  <si>
    <t>Swanton Morley Water Recycling Centre</t>
  </si>
  <si>
    <t>Swanton Novers STW</t>
  </si>
  <si>
    <t>Weasenham All Saints STW</t>
  </si>
  <si>
    <t>Weasenham St.Peter STW</t>
  </si>
  <si>
    <t>Wendling STW</t>
  </si>
  <si>
    <t>West Raynham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</si>
  <si>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</si>
  <si>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</si>
  <si>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</si>
  <si>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</si>
  <si>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</si>
  <si>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</si>
  <si>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</si>
  <si>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</si>
  <si>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</si>
  <si>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</si>
  <si>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</si>
  <si>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</si>
  <si>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</si>
  <si>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</si>
  <si>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</si>
  <si>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</si>
  <si>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</si>
  <si>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</si>
  <si>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Wensum</t>
  </si>
  <si>
    <t>Cereals</t>
  </si>
  <si>
    <t>600to700</t>
  </si>
  <si>
    <t>FreeDrain</t>
  </si>
  <si>
    <t>Wensum|Cereals|FALSE|600to700|FreeDrain</t>
  </si>
  <si>
    <t>Cereals|600to700</t>
  </si>
  <si>
    <t>Wensum|Cereals|TRUE|600to700|FreeDrain</t>
  </si>
  <si>
    <t>DrainedAr</t>
  </si>
  <si>
    <t>Wensum|Cereals|FALSE|600to700|DrainedAr</t>
  </si>
  <si>
    <t>Wensum|Cereals|TRUE|600to700|DrainedAr</t>
  </si>
  <si>
    <t>DrainedArGr</t>
  </si>
  <si>
    <t>Wensum|Cereals|FALSE|600to700|DrainedArGr</t>
  </si>
  <si>
    <t>Wensum|Cereals|TRUE|600to700|DrainedArGr</t>
  </si>
  <si>
    <t>700to900</t>
  </si>
  <si>
    <t>Wensum|Cereals|FALSE|700to900|FreeDrain</t>
  </si>
  <si>
    <t>Cereals|700to900</t>
  </si>
  <si>
    <t>Wensum|Cereals|TRUE|700to900|FreeDrain</t>
  </si>
  <si>
    <t>Wensum|Cereals|FALSE|700to900|DrainedAr</t>
  </si>
  <si>
    <t>Wensum|Cereals|TRUE|700to900|DrainedAr</t>
  </si>
  <si>
    <t>Wensum|Cereals|FALSE|700to900|DrainedArGr</t>
  </si>
  <si>
    <t>Wensum|Cereals|TRUE|700to900|DrainedArGr</t>
  </si>
  <si>
    <t>General</t>
  </si>
  <si>
    <t>Wensum|General|FALSE|600to700|FreeDrain</t>
  </si>
  <si>
    <t>General|600to700</t>
  </si>
  <si>
    <t>Wensum|General|TRUE|600to700|FreeDrain</t>
  </si>
  <si>
    <t>Wensum|General|FALSE|600to700|DrainedAr</t>
  </si>
  <si>
    <t>Wensum|General|TRUE|600to700|DrainedAr</t>
  </si>
  <si>
    <t>Wensum|General|TRUE|600to700|DrainedArGr</t>
  </si>
  <si>
    <t>Wensum|General|FALSE|700to900|FreeDrain</t>
  </si>
  <si>
    <t>General|700to900</t>
  </si>
  <si>
    <t>Wensum|General|TRUE|700to900|FreeDrain</t>
  </si>
  <si>
    <t>Wensum|General|FALSE|700to900|DrainedAr</t>
  </si>
  <si>
    <t>Wensum|General|TRUE|700to900|DrainedAr</t>
  </si>
  <si>
    <t>Wensum|General|FALSE|700to900|DrainedArGr</t>
  </si>
  <si>
    <t>Wensum|General|TRUE|700to900|DrainedArGr</t>
  </si>
  <si>
    <t>Horticulture</t>
  </si>
  <si>
    <t>Wensum|Horticulture|FALSE|600to700|FreeDrain</t>
  </si>
  <si>
    <t>Horticulture|600to700</t>
  </si>
  <si>
    <t>Wensum|Horticulture|FALSE|600to700|DrainedAr</t>
  </si>
  <si>
    <t>Wensum|Horticulture|TRUE|600to700|DrainedAr</t>
  </si>
  <si>
    <t>Wensum|Horticulture|TRUE|700to900|FreeDrain</t>
  </si>
  <si>
    <t>Horticulture|700to900</t>
  </si>
  <si>
    <t>Wensum|Horticulture|FALSE|700to900|DrainedAr</t>
  </si>
  <si>
    <t>Wensum|Horticulture|FALSE|700to900|DrainedArGr</t>
  </si>
  <si>
    <t>Pig</t>
  </si>
  <si>
    <t>Wensum|Pig|FALSE|600to700|FreeDrain</t>
  </si>
  <si>
    <t>Pig|600to700</t>
  </si>
  <si>
    <t>Wensum|Pig|TRUE|600to700|FreeDrain</t>
  </si>
  <si>
    <t>Wensum|Pig|FALSE|600to700|DrainedAr</t>
  </si>
  <si>
    <t>Wensum|Pig|TRUE|600to700|DrainedAr</t>
  </si>
  <si>
    <t>Wensum|Pig|TRUE|600to700|DrainedArGr</t>
  </si>
  <si>
    <t>Wensum|Pig|TRUE|700to900|FreeDrain</t>
  </si>
  <si>
    <t>Pig|700to900</t>
  </si>
  <si>
    <t>Wensum|Pig|FALSE|700to900|DrainedAr</t>
  </si>
  <si>
    <t>Wensum|Pig|TRUE|700to900|DrainedAr</t>
  </si>
  <si>
    <t>Wensum|Pig|FALSE|700to900|DrainedArGr</t>
  </si>
  <si>
    <t>Wensum|Pig|TRUE|700to900|DrainedArGr</t>
  </si>
  <si>
    <t>Poultry</t>
  </si>
  <si>
    <t>Wensum|Poultry|FALSE|600to700|FreeDrain</t>
  </si>
  <si>
    <t>Poultry|600to700</t>
  </si>
  <si>
    <t>Wensum|Poultry|FALSE|600to700|DrainedAr</t>
  </si>
  <si>
    <t>Wensum|Poultry|TRUE|600to700|DrainedAr</t>
  </si>
  <si>
    <t>Wensum|Poultry|FALSE|600to700|DrainedArGr</t>
  </si>
  <si>
    <t>Wensum|Poultry|TRUE|700to900|FreeDrain</t>
  </si>
  <si>
    <t>Poultry|700to900</t>
  </si>
  <si>
    <t>Wensum|Poultry|FALSE|700to900|DrainedAr</t>
  </si>
  <si>
    <t>Wensum|Poultry|TRUE|700to900|DrainedAr</t>
  </si>
  <si>
    <t>Wensum|Poultry|FALSE|700to900|DrainedArGr</t>
  </si>
  <si>
    <t>Wensum|Poultry|TRUE|700to900|DrainedArGr</t>
  </si>
  <si>
    <t>Dairy</t>
  </si>
  <si>
    <t>Wensum|Dairy|FALSE|600to700|DrainedAr</t>
  </si>
  <si>
    <t>Dairy|600to700</t>
  </si>
  <si>
    <t>Wensum|Dairy|TRUE|600to700|DrainedAr</t>
  </si>
  <si>
    <t>Wensum|Dairy|FALSE|600to700|DrainedArGr</t>
  </si>
  <si>
    <t>Wensum|Dairy|TRUE|600to700|DrainedArGr</t>
  </si>
  <si>
    <t>Wensum|Dairy|FALSE|700to900|DrainedAr</t>
  </si>
  <si>
    <t>Dairy|700to900</t>
  </si>
  <si>
    <t>Wensum|Dairy|TRUE|700to900|DrainedAr</t>
  </si>
  <si>
    <t>Wensum|Dairy|FALSE|700to900|DrainedArGr</t>
  </si>
  <si>
    <t>Wensum|Dairy|TRUE|700to900|DrainedArGr</t>
  </si>
  <si>
    <t>Lowland</t>
  </si>
  <si>
    <t>Wensum|Lowland|FALSE|600to700|FreeDrain</t>
  </si>
  <si>
    <t>Lowland|600to700</t>
  </si>
  <si>
    <t>Wensum|Lowland|TRUE|600to700|FreeDrain</t>
  </si>
  <si>
    <t>Wensum|Lowland|FALSE|600to700|DrainedAr</t>
  </si>
  <si>
    <t>Wensum|Lowland|TRUE|600to700|DrainedAr</t>
  </si>
  <si>
    <t>Wensum|Lowland|TRUE|600to700|DrainedArGr</t>
  </si>
  <si>
    <t>Wensum|Lowland|TRUE|700to900|FreeDrain</t>
  </si>
  <si>
    <t>Lowland|700to900</t>
  </si>
  <si>
    <t>Wensum|Lowland|FALSE|700to900|DrainedAr</t>
  </si>
  <si>
    <t>Wensum|Lowland|TRUE|700to900|DrainedAr</t>
  </si>
  <si>
    <t>Wensum|Lowland|FALSE|700to900|DrainedArGr</t>
  </si>
  <si>
    <t>Wensum|Lowland|TRUE|700to900|DrainedArGr</t>
  </si>
  <si>
    <t>Mixed</t>
  </si>
  <si>
    <t>Wensum|Mixed|FALSE|600to700|FreeDrain</t>
  </si>
  <si>
    <t>Mixed|600to700</t>
  </si>
  <si>
    <t>Wensum|Mixed|TRUE|600to700|FreeDrain</t>
  </si>
  <si>
    <t>Wensum|Mixed|FALSE|600to700|DrainedAr</t>
  </si>
  <si>
    <t>Wensum|Mixed|TRUE|600to700|DrainedAr</t>
  </si>
  <si>
    <t>Wensum|Mixed|TRUE|600to700|DrainedArGr</t>
  </si>
  <si>
    <t>Wensum|Mixed|TRUE|700to900|FreeDrain</t>
  </si>
  <si>
    <t>Mixed|700to900</t>
  </si>
  <si>
    <t>Wensum|Mixed|FALSE|700to900|DrainedAr</t>
  </si>
  <si>
    <t>Wensum|Mixed|TRUE|700to900|DrainedAr</t>
  </si>
  <si>
    <t>Wensum|Mixed|FALSE|700to900|DrainedArGr</t>
  </si>
  <si>
    <t>Wensum|Mixed|TRUE|700to900|DrainedArGr</t>
  </si>
  <si>
    <t>3008_Broadland</t>
  </si>
  <si>
    <t>Cereals|FALSE|600to700|FreeDrain</t>
  </si>
  <si>
    <t>Cereals|TRUE|600to700|FreeDrain</t>
  </si>
  <si>
    <t>Cereals|FALSE|600to700|DrainedAr</t>
  </si>
  <si>
    <t>Cereals|TRUE|600to700|DrainedAr</t>
  </si>
  <si>
    <t>Cereals|FALSE|600to700|DrainedArGr</t>
  </si>
  <si>
    <t>Cereals|TRUE|600to700|DrainedArGr</t>
  </si>
  <si>
    <t>Cereals|FALSE|700to900|FreeDrain</t>
  </si>
  <si>
    <t>Cereals|TRUE|700to900|FreeDrain</t>
  </si>
  <si>
    <t>Cereals|FALSE|700to900|DrainedAr</t>
  </si>
  <si>
    <t>Cereals|TRUE|700to900|DrainedAr</t>
  </si>
  <si>
    <t>Cereals|FALSE|700to900|DrainedArGr</t>
  </si>
  <si>
    <t>Cereals|TRUE|700to900|DrainedArGr</t>
  </si>
  <si>
    <t>Over1500</t>
  </si>
  <si>
    <t>Cereals|TRUE|Over1500|FreeDrain</t>
  </si>
  <si>
    <t>Cereals|Over1500</t>
  </si>
  <si>
    <t>General|FALSE|600to700|FreeDrain</t>
  </si>
  <si>
    <t>General|TRUE|600to700|FreeDrain</t>
  </si>
  <si>
    <t>General|FALSE|600to700|DrainedAr</t>
  </si>
  <si>
    <t>General|TRUE|600to700|DrainedAr</t>
  </si>
  <si>
    <t>General|FALSE|600to700|DrainedArGr</t>
  </si>
  <si>
    <t>General|TRUE|600to700|DrainedArGr</t>
  </si>
  <si>
    <t>General|FALSE|700to900|FreeDrain</t>
  </si>
  <si>
    <t>General|TRUE|700to900|FreeDrain</t>
  </si>
  <si>
    <t>General|FALSE|700to900|DrainedAr</t>
  </si>
  <si>
    <t>General|TRUE|700to900|DrainedAr</t>
  </si>
  <si>
    <t>General|FALSE|700to900|DrainedArGr</t>
  </si>
  <si>
    <t>General|TRUE|700to900|DrainedArGr</t>
  </si>
  <si>
    <t>General|TRUE|Over1500|FreeDrain</t>
  </si>
  <si>
    <t>General|Over1500</t>
  </si>
  <si>
    <t>Horticulture|FALSE|600to700|FreeDrain</t>
  </si>
  <si>
    <t>Horticulture|TRUE|600to700|FreeDrain</t>
  </si>
  <si>
    <t>Horticulture|FALSE|600to700|DrainedAr</t>
  </si>
  <si>
    <t>Horticulture|TRUE|600to700|DrainedAr</t>
  </si>
  <si>
    <t>Horticulture|FALSE|600to700|DrainedArGr</t>
  </si>
  <si>
    <t>Horticulture|TRUE|600to700|DrainedArGr</t>
  </si>
  <si>
    <t>Horticulture|TRUE|700to900|FreeDrain</t>
  </si>
  <si>
    <t>Horticulture|FALSE|700to900|DrainedAr</t>
  </si>
  <si>
    <t>Horticulture|TRUE|700to900|DrainedAr</t>
  </si>
  <si>
    <t>Horticulture|FALSE|700to900|DrainedArGr</t>
  </si>
  <si>
    <t>Horticulture|TRUE|700to900|DrainedArGr</t>
  </si>
  <si>
    <t>Pig|FALSE|600to700|FreeDrain</t>
  </si>
  <si>
    <t>Pig|TRUE|600to700|FreeDrain</t>
  </si>
  <si>
    <t>Pig|FALSE|600to700|DrainedAr</t>
  </si>
  <si>
    <t>Pig|TRUE|600to700|DrainedAr</t>
  </si>
  <si>
    <t>Pig|FALSE|600to700|DrainedArGr</t>
  </si>
  <si>
    <t>Pig|TRUE|600to700|DrainedArGr</t>
  </si>
  <si>
    <t>Pig|TRUE|700to900|FreeDrain</t>
  </si>
  <si>
    <t>Pig|FALSE|700to900|DrainedAr</t>
  </si>
  <si>
    <t>Pig|TRUE|700to900|DrainedAr</t>
  </si>
  <si>
    <t>Pig|FALSE|700to900|DrainedArGr</t>
  </si>
  <si>
    <t>Pig|TRUE|700to900|DrainedArGr</t>
  </si>
  <si>
    <t>Poultry|FALSE|600to700|FreeDrain</t>
  </si>
  <si>
    <t>Poultry|TRUE|600to700|FreeDrain</t>
  </si>
  <si>
    <t>Poultry|FALSE|600to700|DrainedAr</t>
  </si>
  <si>
    <t>Poultry|TRUE|600to700|DrainedAr</t>
  </si>
  <si>
    <t>Poultry|FALSE|600to700|DrainedArGr</t>
  </si>
  <si>
    <t>Poultry|TRUE|600to700|DrainedArGr</t>
  </si>
  <si>
    <t>Poultry|TRUE|700to900|FreeDrain</t>
  </si>
  <si>
    <t>Poultry|FALSE|700to900|DrainedAr</t>
  </si>
  <si>
    <t>Poultry|TRUE|700to900|DrainedAr</t>
  </si>
  <si>
    <t>Poultry|FALSE|700to900|DrainedArGr</t>
  </si>
  <si>
    <t>Poultry|TRUE|700to900|DrainedArGr</t>
  </si>
  <si>
    <t>Dairy|TRUE|600to700|FreeDrain</t>
  </si>
  <si>
    <t>Dairy|FALSE|600to700|DrainedAr</t>
  </si>
  <si>
    <t>Dairy|TRUE|600to700|DrainedAr</t>
  </si>
  <si>
    <t>Dairy|FALSE|600to700|DrainedArGr</t>
  </si>
  <si>
    <t>Dairy|TRUE|600to700|DrainedArGr</t>
  </si>
  <si>
    <t>Dairy|TRUE|700to900|DrainedArGr</t>
  </si>
  <si>
    <t>Lowland|FALSE|600to700|FreeDrain</t>
  </si>
  <si>
    <t>Lowland|TRUE|600to700|FreeDrain</t>
  </si>
  <si>
    <t>Lowland|FALSE|600to700|DrainedAr</t>
  </si>
  <si>
    <t>Lowland|TRUE|600to700|DrainedAr</t>
  </si>
  <si>
    <t>Lowland|FALSE|600to700|DrainedArGr</t>
  </si>
  <si>
    <t>Lowland|TRUE|600to700|DrainedArGr</t>
  </si>
  <si>
    <t>Lowland|TRUE|700to900|FreeDrain</t>
  </si>
  <si>
    <t>Lowland|FALSE|700to900|DrainedAr</t>
  </si>
  <si>
    <t>Lowland|TRUE|700to900|DrainedAr</t>
  </si>
  <si>
    <t>Lowland|FALSE|700to900|DrainedArGr</t>
  </si>
  <si>
    <t>Lowland|TRUE|700to900|DrainedArGr</t>
  </si>
  <si>
    <t>Lowland|TRUE|Over1500|DrainedAr</t>
  </si>
  <si>
    <t>Lowland|Over1500</t>
  </si>
  <si>
    <t>Mixed|FALSE|600to700|FreeDrain</t>
  </si>
  <si>
    <t>Mixed|TRUE|600to700|FreeDrain</t>
  </si>
  <si>
    <t>Mixed|FALSE|600to700|DrainedAr</t>
  </si>
  <si>
    <t>Mixed|TRUE|600to700|DrainedAr</t>
  </si>
  <si>
    <t>Mixed|FALSE|600to700|DrainedArGr</t>
  </si>
  <si>
    <t>Mixed|TRUE|600to700|DrainedArGr</t>
  </si>
  <si>
    <t>Mixed|TRUE|700to900|FreeDrain</t>
  </si>
  <si>
    <t>Mixed|FALSE|700to900|DrainedAr</t>
  </si>
  <si>
    <t>Mixed|TRUE|700to900|DrainedAr</t>
  </si>
  <si>
    <t>Mixed|FALSE|700to900|DrainedArGr</t>
  </si>
  <si>
    <t>Mixed|TRUE|700to900|DrainedArGr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</si>
  <si>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</si>
  <si>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</si>
  <si>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</si>
  <si>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</si>
  <si>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</si>
  <si>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</si>
  <si>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</si>
  <si>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</si>
  <si>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</si>
  <si>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</si>
  <si>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</si>
  <si>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</si>
  <si>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</si>
  <si>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</si>
  <si>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</si>
  <si>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</si>
  <si>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</si>
  <si>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</si>
  <si>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</si>
  <si>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</si>
  <si>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</si>
  <si>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</si>
  <si>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</si>
  <si>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</si>
  <si>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</si>
  <si>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</si>
  <si>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</si>
  <si>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625.1 - 650</t>
  </si>
  <si>
    <t>650.1 - 675</t>
  </si>
  <si>
    <t>675.1 - 700</t>
  </si>
  <si>
    <t>700.1 - 750</t>
  </si>
  <si>
    <t>750.1 - 800</t>
  </si>
  <si>
    <t>800.1 - 850</t>
  </si>
  <si>
    <t>850.1 - 900</t>
  </si>
  <si>
    <t>900.1 - 950</t>
  </si>
  <si>
    <t>900to1200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</si>
  <si>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</si>
  <si>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</si>
  <si>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</si>
  <si>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</si>
  <si>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</si>
  <si>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</si>
  <si>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</si>
  <si>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</si>
  <si>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</si>
  <si>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</si>
  <si>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</si>
  <si>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</si>
  <si>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</si>
  <si>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</si>
  <si>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</si>
  <si>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</si>
  <si>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</si>
  <si>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</si>
  <si>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</si>
  <si>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</si>
  <si>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</si>
  <si>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</si>
  <si>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</si>
  <si>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</si>
  <si>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</si>
  <si>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</si>
  <si>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</si>
  <si>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</si>
  <si>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</si>
  <si>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</si>
  <si>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</si>
  <si>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</si>
  <si>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</si>
  <si>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</si>
  <si>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Wensum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</si>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</sst>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u/>
      <sz val="12"/>
      <color theme="10"/>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color rgb="FF0070C0"/>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E2EFDA"/>
        <bgColor indexed="64"/>
      </patternFill>
    </fill>
  </fills>
  <borders count="25">
    <border>
      <left/>
      <right/>
      <top/>
      <bottom/>
      <diagonal/>
    </border>
    <border>
      <left style="thick">
        <color rgb="FF449669"/>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right/>
      <top/>
      <bottom style="thin">
        <color theme="0" tint="-0.14999847407452621"/>
      </bottom>
      <diagonal/>
    </border>
    <border>
      <left style="thin">
        <color auto="1"/>
      </left>
      <right/>
      <top/>
      <bottom style="thin">
        <color indexed="64"/>
      </bottom>
      <diagonal/>
    </border>
    <border>
      <left/>
      <right style="thin">
        <color auto="1"/>
      </right>
      <top/>
      <bottom style="thin">
        <color auto="1"/>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theme="1"/>
      </left>
      <right style="thin">
        <color theme="1"/>
      </right>
      <top/>
      <bottom style="thin">
        <color theme="1"/>
      </bottom>
      <diagonal/>
    </border>
    <border>
      <left/>
      <right/>
      <top style="thin">
        <color indexed="64"/>
      </top>
      <bottom/>
      <diagonal/>
    </border>
    <border>
      <left/>
      <right/>
      <top style="thin">
        <color theme="1"/>
      </top>
      <bottom/>
      <diagonal/>
    </border>
    <border>
      <left style="thin">
        <color indexed="64"/>
      </left>
      <right/>
      <top/>
      <bottom style="thin">
        <color theme="1"/>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style="thin">
        <color theme="0" tint="-0.14999847407452621"/>
      </right>
      <top/>
      <bottom style="thin">
        <color theme="0" tint="-0.14999847407452621"/>
      </bottom>
      <diagonal/>
    </border>
  </borders>
  <cellStyleXfs count="4">
    <xf numFmtId="0" fontId="0" fillId="0" borderId="0"/>
    <xf numFmtId="0" fontId="2" fillId="0" borderId="0" applyNumberFormat="0" applyFill="0" applyBorder="0" applyAlignment="0" applyProtection="0"/>
    <xf numFmtId="0" fontId="16" fillId="0" borderId="3" applyNumberFormat="0" applyFill="0" applyBorder="0" applyAlignment="0" applyProtection="0"/>
    <xf numFmtId="0" fontId="17" fillId="0" borderId="7" applyNumberFormat="0" applyFill="0" applyBorder="0" applyAlignment="0" applyProtection="0"/>
  </cellStyleXfs>
  <cellXfs count="121">
    <xf numFmtId="0" fontId="0" fillId="0" borderId="0" xfId="0"/>
    <xf numFmtId="0" fontId="14" fillId="3" borderId="0" xfId="0" applyFont="1" applyFill="1" applyAlignment="1" applyProtection="1">
      <alignment horizontal="left" vertical="center" wrapText="1"/>
      <protection locked="0"/>
    </xf>
    <xf numFmtId="0" fontId="10" fillId="0" borderId="0" xfId="0" applyFont="1" applyAlignment="1">
      <alignment horizontal="left" vertical="center" wrapText="1"/>
    </xf>
    <xf numFmtId="0" fontId="14" fillId="0" borderId="0" xfId="0" applyFont="1" applyAlignment="1">
      <alignment horizontal="left" vertical="center" wrapText="1"/>
    </xf>
    <xf numFmtId="0" fontId="10" fillId="3" borderId="8" xfId="0" applyFont="1" applyFill="1" applyBorder="1" applyAlignment="1" applyProtection="1">
      <alignment horizontal="left" vertical="center" wrapText="1"/>
      <protection locked="0"/>
    </xf>
    <xf numFmtId="2" fontId="10" fillId="2" borderId="14" xfId="0" applyNumberFormat="1"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18" xfId="0" applyFont="1" applyBorder="1" applyAlignment="1">
      <alignment horizontal="left" vertical="center" wrapText="1"/>
    </xf>
    <xf numFmtId="0" fontId="10" fillId="0" borderId="17" xfId="0" applyFont="1" applyBorder="1" applyAlignment="1">
      <alignment horizontal="left" vertical="center" wrapText="1"/>
    </xf>
    <xf numFmtId="0" fontId="10" fillId="0" borderId="8" xfId="0" applyFont="1" applyBorder="1" applyAlignment="1">
      <alignment horizontal="left" vertical="center" wrapText="1"/>
    </xf>
    <xf numFmtId="0" fontId="8" fillId="4" borderId="0" xfId="0" applyFont="1" applyFill="1" applyAlignment="1">
      <alignment horizontal="left" vertical="center" wrapText="1"/>
    </xf>
    <xf numFmtId="0" fontId="17" fillId="0" borderId="0" xfId="3" applyBorder="1" applyAlignment="1" applyProtection="1">
      <alignment horizontal="left" vertical="center" wrapText="1"/>
    </xf>
    <xf numFmtId="0" fontId="11" fillId="4" borderId="2" xfId="0" applyFont="1" applyFill="1" applyBorder="1" applyAlignment="1">
      <alignment horizontal="left" vertical="center" wrapText="1"/>
    </xf>
    <xf numFmtId="0" fontId="16" fillId="0" borderId="1" xfId="2" applyFill="1" applyBorder="1" applyAlignment="1" applyProtection="1">
      <alignment horizontal="left" vertical="center" wrapText="1"/>
    </xf>
    <xf numFmtId="0" fontId="13" fillId="0" borderId="0" xfId="0" applyFont="1" applyAlignment="1">
      <alignment horizontal="left" vertical="center" wrapText="1"/>
    </xf>
    <xf numFmtId="0" fontId="17" fillId="0" borderId="0" xfId="0" applyFont="1" applyAlignment="1">
      <alignment horizontal="left" vertical="center" wrapText="1"/>
    </xf>
    <xf numFmtId="0" fontId="5" fillId="0" borderId="0" xfId="0" applyFont="1" applyAlignment="1">
      <alignment horizontal="left" vertical="center" wrapText="1"/>
    </xf>
    <xf numFmtId="2" fontId="10" fillId="3" borderId="0" xfId="0" applyNumberFormat="1" applyFont="1" applyFill="1" applyAlignment="1" applyProtection="1">
      <alignment horizontal="left" vertical="center" wrapText="1"/>
      <protection locked="0"/>
    </xf>
    <xf numFmtId="2" fontId="10" fillId="3" borderId="2" xfId="0" applyNumberFormat="1" applyFont="1" applyFill="1" applyBorder="1" applyAlignment="1" applyProtection="1">
      <alignment horizontal="left" vertical="center" wrapText="1"/>
      <protection locked="0"/>
    </xf>
    <xf numFmtId="0" fontId="11" fillId="2" borderId="4" xfId="0" applyFont="1" applyFill="1" applyBorder="1" applyAlignment="1">
      <alignment horizontal="left" vertical="center" wrapText="1"/>
    </xf>
    <xf numFmtId="2" fontId="11" fillId="2" borderId="4" xfId="0" applyNumberFormat="1" applyFont="1" applyFill="1" applyBorder="1" applyAlignment="1">
      <alignment horizontal="left" vertical="center" wrapText="1"/>
    </xf>
    <xf numFmtId="0" fontId="11" fillId="0" borderId="0" xfId="0" applyFont="1" applyAlignment="1">
      <alignment horizontal="left" vertical="center" wrapText="1"/>
    </xf>
    <xf numFmtId="0" fontId="17" fillId="0" borderId="0" xfId="3" applyFill="1" applyBorder="1" applyAlignment="1" applyProtection="1">
      <alignment horizontal="left" vertical="center" wrapText="1"/>
    </xf>
    <xf numFmtId="0" fontId="12" fillId="0" borderId="0" xfId="1" applyFont="1" applyFill="1" applyAlignment="1" applyProtection="1">
      <alignment horizontal="left" vertical="center" wrapText="1"/>
    </xf>
    <xf numFmtId="0" fontId="10" fillId="2" borderId="15" xfId="0" applyFont="1" applyFill="1" applyBorder="1" applyAlignment="1">
      <alignment horizontal="left" vertical="center" wrapText="1"/>
    </xf>
    <xf numFmtId="0" fontId="4" fillId="0" borderId="0" xfId="0" applyFont="1" applyAlignment="1">
      <alignment horizontal="left" vertical="center" wrapText="1"/>
    </xf>
    <xf numFmtId="14" fontId="10" fillId="3" borderId="14" xfId="0" applyNumberFormat="1" applyFont="1" applyFill="1" applyBorder="1" applyAlignment="1" applyProtection="1">
      <alignment horizontal="left" vertical="center" wrapText="1"/>
      <protection locked="0"/>
    </xf>
    <xf numFmtId="2" fontId="10" fillId="3" borderId="14" xfId="0" applyNumberFormat="1"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1" fillId="5" borderId="11"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0" fillId="0" borderId="0" xfId="0" applyFont="1" applyAlignment="1">
      <alignment horizontal="left" vertical="top" wrapText="1"/>
    </xf>
    <xf numFmtId="0" fontId="14" fillId="4" borderId="2" xfId="0" applyFont="1" applyFill="1" applyBorder="1" applyAlignment="1">
      <alignment horizontal="left" vertical="center" wrapText="1"/>
    </xf>
    <xf numFmtId="0" fontId="14" fillId="3" borderId="2" xfId="0" applyFont="1" applyFill="1" applyBorder="1" applyAlignment="1" applyProtection="1">
      <alignment horizontal="left" vertical="center" wrapText="1"/>
      <protection locked="0"/>
    </xf>
    <xf numFmtId="0" fontId="14" fillId="0" borderId="8" xfId="0" applyFont="1" applyBorder="1" applyAlignment="1">
      <alignment horizontal="left" vertical="center" wrapText="1"/>
    </xf>
    <xf numFmtId="0" fontId="19" fillId="0" borderId="0" xfId="0" applyFont="1" applyAlignment="1">
      <alignment horizontal="left" vertical="center" wrapText="1"/>
    </xf>
    <xf numFmtId="0" fontId="6" fillId="0" borderId="0" xfId="0" applyFont="1" applyAlignment="1">
      <alignment horizontal="left" wrapText="1"/>
    </xf>
    <xf numFmtId="0" fontId="18" fillId="0" borderId="0" xfId="0" applyFont="1" applyAlignment="1">
      <alignment horizontal="left" wrapText="1"/>
    </xf>
    <xf numFmtId="2" fontId="8" fillId="0" borderId="0" xfId="0" applyNumberFormat="1" applyFont="1" applyAlignment="1">
      <alignment horizontal="left" vertical="center" wrapText="1"/>
    </xf>
    <xf numFmtId="0" fontId="6" fillId="0" borderId="0" xfId="0" applyFont="1" applyAlignment="1">
      <alignment horizontal="left" vertical="center" wrapText="1"/>
    </xf>
    <xf numFmtId="2" fontId="8" fillId="0" borderId="2" xfId="0" applyNumberFormat="1" applyFont="1" applyBorder="1" applyAlignment="1">
      <alignment horizontal="left" vertical="center" wrapText="1"/>
    </xf>
    <xf numFmtId="0" fontId="3" fillId="0" borderId="0" xfId="0" applyFont="1" applyAlignment="1">
      <alignment horizontal="left" wrapText="1"/>
    </xf>
    <xf numFmtId="0" fontId="8" fillId="0" borderId="0" xfId="0" applyFont="1" applyAlignment="1">
      <alignment horizontal="left" vertical="center" wrapText="1"/>
    </xf>
    <xf numFmtId="0" fontId="11" fillId="5" borderId="5" xfId="0" applyFont="1" applyFill="1" applyBorder="1" applyAlignment="1">
      <alignment horizontal="left" vertical="center" wrapText="1"/>
    </xf>
    <xf numFmtId="0" fontId="16" fillId="0" borderId="9" xfId="2" applyFill="1" applyBorder="1" applyAlignment="1" applyProtection="1">
      <alignment horizontal="left" vertical="center" wrapText="1"/>
    </xf>
    <xf numFmtId="0" fontId="1" fillId="0" borderId="0" xfId="0" applyFont="1" applyAlignment="1">
      <alignment horizontal="left" wrapText="1"/>
    </xf>
    <xf numFmtId="14" fontId="10" fillId="3" borderId="2" xfId="0" applyNumberFormat="1"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1" fillId="2" borderId="2" xfId="0" applyFont="1" applyFill="1" applyBorder="1" applyAlignment="1">
      <alignment horizontal="left" vertical="center" wrapText="1"/>
    </xf>
    <xf numFmtId="0" fontId="1" fillId="0" borderId="24" xfId="0" applyFont="1" applyBorder="1" applyAlignment="1">
      <alignment horizontal="left" wrapText="1"/>
    </xf>
    <xf numFmtId="0" fontId="10" fillId="2" borderId="16" xfId="0" applyFont="1" applyFill="1" applyBorder="1" applyAlignment="1">
      <alignment horizontal="left" vertical="center" wrapText="1"/>
    </xf>
    <xf numFmtId="0" fontId="11" fillId="2" borderId="20" xfId="0" applyFont="1" applyFill="1" applyBorder="1" applyAlignment="1">
      <alignment horizontal="left" vertical="center" wrapText="1"/>
    </xf>
    <xf numFmtId="2" fontId="11" fillId="2" borderId="21" xfId="0" applyNumberFormat="1" applyFont="1" applyFill="1" applyBorder="1" applyAlignment="1">
      <alignment horizontal="left" vertical="center" wrapText="1"/>
    </xf>
    <xf numFmtId="2" fontId="11" fillId="2" borderId="22" xfId="0" applyNumberFormat="1" applyFont="1" applyFill="1" applyBorder="1" applyAlignment="1">
      <alignment horizontal="left" vertical="center" wrapText="1"/>
    </xf>
    <xf numFmtId="0" fontId="16" fillId="0" borderId="12" xfId="2" applyFill="1" applyBorder="1" applyAlignment="1" applyProtection="1">
      <alignment horizontal="left" vertical="center" wrapText="1"/>
    </xf>
    <xf numFmtId="0" fontId="19" fillId="0" borderId="12" xfId="0" applyFont="1" applyBorder="1" applyAlignment="1">
      <alignment horizontal="left" vertical="center" wrapText="1"/>
    </xf>
    <xf numFmtId="0" fontId="20" fillId="0" borderId="0" xfId="0" applyFont="1" applyAlignment="1">
      <alignment horizontal="left" vertical="center" wrapText="1"/>
    </xf>
    <xf numFmtId="0" fontId="8" fillId="4" borderId="8" xfId="0" applyFont="1" applyFill="1" applyBorder="1" applyAlignment="1">
      <alignment horizontal="left" vertical="center" wrapText="1"/>
    </xf>
    <xf numFmtId="2" fontId="8" fillId="2" borderId="14" xfId="0" applyNumberFormat="1" applyFont="1" applyFill="1" applyBorder="1" applyAlignment="1">
      <alignment horizontal="left" vertical="center" wrapText="1"/>
    </xf>
    <xf numFmtId="0" fontId="14" fillId="0" borderId="5" xfId="0" applyFont="1" applyBorder="1" applyAlignment="1">
      <alignment horizontal="left" vertical="center" wrapText="1"/>
    </xf>
    <xf numFmtId="0" fontId="3" fillId="0" borderId="0" xfId="0" applyFont="1" applyAlignment="1">
      <alignment horizontal="left" vertical="center" wrapText="1"/>
    </xf>
    <xf numFmtId="0" fontId="11" fillId="4" borderId="11" xfId="0" applyFont="1" applyFill="1" applyBorder="1" applyAlignment="1">
      <alignment horizontal="left" vertical="center"/>
    </xf>
    <xf numFmtId="0" fontId="11" fillId="4" borderId="23" xfId="0" applyFont="1" applyFill="1" applyBorder="1" applyAlignment="1">
      <alignment horizontal="left" wrapText="1"/>
    </xf>
    <xf numFmtId="0" fontId="6" fillId="0" borderId="13" xfId="0" applyFont="1" applyBorder="1" applyAlignment="1">
      <alignment horizontal="left" vertical="center" wrapText="1"/>
    </xf>
    <xf numFmtId="0" fontId="11" fillId="4" borderId="23" xfId="0" applyFont="1" applyFill="1" applyBorder="1" applyAlignment="1">
      <alignment horizontal="left" vertical="center" wrapText="1"/>
    </xf>
    <xf numFmtId="2" fontId="11" fillId="2" borderId="14" xfId="0" applyNumberFormat="1" applyFont="1" applyFill="1" applyBorder="1" applyAlignment="1">
      <alignment horizontal="left" vertical="center" wrapText="1"/>
    </xf>
    <xf numFmtId="0" fontId="8" fillId="5" borderId="11" xfId="0" applyFont="1" applyFill="1" applyBorder="1" applyAlignment="1">
      <alignment horizontal="left" vertical="center"/>
    </xf>
    <xf numFmtId="0" fontId="8" fillId="5" borderId="10" xfId="0" applyFont="1" applyFill="1" applyBorder="1" applyAlignment="1">
      <alignment horizontal="left" vertical="center"/>
    </xf>
    <xf numFmtId="0" fontId="11" fillId="4" borderId="11" xfId="0" applyFont="1" applyFill="1" applyBorder="1" applyAlignment="1">
      <alignment horizontal="left" vertical="center" wrapText="1"/>
    </xf>
    <xf numFmtId="0" fontId="10" fillId="0" borderId="2" xfId="0" applyFont="1" applyBorder="1" applyAlignment="1">
      <alignment horizontal="left" vertical="center" wrapText="1"/>
    </xf>
    <xf numFmtId="0" fontId="15" fillId="0" borderId="2" xfId="1" applyFont="1" applyBorder="1" applyAlignment="1" applyProtection="1">
      <alignment horizontal="left" vertical="center" wrapText="1"/>
    </xf>
    <xf numFmtId="0" fontId="15" fillId="0" borderId="0" xfId="1" applyFont="1" applyBorder="1" applyAlignment="1" applyProtection="1">
      <alignment horizontal="left" vertical="center" wrapText="1"/>
    </xf>
    <xf numFmtId="0" fontId="8" fillId="4" borderId="2" xfId="0" applyFont="1" applyFill="1" applyBorder="1" applyAlignment="1">
      <alignment horizontal="left" vertical="center" wrapText="1"/>
    </xf>
    <xf numFmtId="2" fontId="14" fillId="3" borderId="2" xfId="0" applyNumberFormat="1" applyFont="1" applyFill="1" applyBorder="1" applyAlignment="1" applyProtection="1">
      <alignment horizontal="left" vertical="center" wrapText="1"/>
      <protection locked="0"/>
    </xf>
    <xf numFmtId="2" fontId="11" fillId="0" borderId="0" xfId="0" applyNumberFormat="1" applyFont="1" applyAlignment="1">
      <alignment horizontal="left" vertical="center" wrapText="1"/>
    </xf>
    <xf numFmtId="2" fontId="8" fillId="4" borderId="0" xfId="0" applyNumberFormat="1" applyFont="1" applyFill="1" applyAlignment="1">
      <alignment horizontal="left" vertical="center" wrapText="1"/>
    </xf>
    <xf numFmtId="0" fontId="21" fillId="0" borderId="0" xfId="0" applyFont="1" applyAlignment="1">
      <alignment horizontal="lef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8" fillId="4" borderId="23" xfId="0" applyFont="1" applyFill="1" applyBorder="1" applyAlignment="1">
      <alignment horizontal="left" vertical="center" wrapText="1"/>
    </xf>
    <xf numFmtId="0" fontId="6" fillId="4" borderId="0" xfId="0" applyFont="1" applyFill="1" applyAlignment="1">
      <alignment horizontal="left" vertical="center" wrapText="1"/>
    </xf>
    <xf numFmtId="0" fontId="14" fillId="6" borderId="2" xfId="0" applyFont="1" applyFill="1" applyBorder="1" applyAlignment="1" applyProtection="1">
      <alignment horizontal="left" vertical="center" wrapText="1"/>
      <protection locked="0"/>
    </xf>
    <xf numFmtId="0" fontId="14" fillId="6" borderId="0" xfId="0" applyFont="1" applyFill="1" applyAlignment="1" applyProtection="1">
      <alignment horizontal="left" vertical="center" wrapText="1"/>
      <protection locked="0"/>
    </xf>
    <xf numFmtId="0" fontId="14" fillId="0" borderId="17" xfId="0" applyFont="1" applyBorder="1" applyAlignment="1">
      <alignment horizontal="left" vertical="center" wrapText="1"/>
    </xf>
    <xf numFmtId="0" fontId="17" fillId="0" borderId="17" xfId="3" applyBorder="1" applyAlignment="1" applyProtection="1">
      <alignment horizontal="left" vertical="center" wrapText="1"/>
    </xf>
    <xf numFmtId="0" fontId="8" fillId="4" borderId="14" xfId="0" applyFont="1" applyFill="1" applyBorder="1" applyAlignment="1">
      <alignment horizontal="left" vertical="center" wrapText="1"/>
    </xf>
    <xf numFmtId="0" fontId="1" fillId="0" borderId="6" xfId="0" applyFont="1" applyBorder="1" applyAlignment="1">
      <alignment horizontal="left" wrapText="1"/>
    </xf>
    <xf numFmtId="0" fontId="11" fillId="4" borderId="8" xfId="0" applyFont="1" applyFill="1" applyBorder="1" applyAlignment="1">
      <alignment horizontal="left" vertical="center"/>
    </xf>
    <xf numFmtId="0" fontId="11" fillId="4" borderId="17" xfId="0" applyFont="1" applyFill="1" applyBorder="1" applyAlignment="1">
      <alignment horizontal="left" vertical="center"/>
    </xf>
    <xf numFmtId="2" fontId="11" fillId="4" borderId="21" xfId="0" applyNumberFormat="1" applyFont="1" applyFill="1" applyBorder="1" applyAlignment="1">
      <alignment horizontal="left" vertical="center" wrapText="1"/>
    </xf>
    <xf numFmtId="2" fontId="11" fillId="2" borderId="2" xfId="0" applyNumberFormat="1" applyFont="1" applyFill="1" applyBorder="1" applyAlignment="1">
      <alignment horizontal="left" vertical="center" wrapText="1"/>
    </xf>
    <xf numFmtId="0" fontId="6" fillId="0" borderId="0" xfId="0" applyFont="1" applyAlignment="1">
      <alignment wrapText="1"/>
    </xf>
    <xf numFmtId="0" fontId="6" fillId="0" borderId="0" xfId="0" applyFont="1" applyAlignment="1" applyProtection="1">
      <alignment horizontal="left" vertical="center" wrapText="1"/>
      <protection hidden="1"/>
    </xf>
    <xf numFmtId="2" fontId="6" fillId="0" borderId="0" xfId="0" applyNumberFormat="1" applyFont="1" applyAlignment="1">
      <alignment horizontal="left" vertical="center" wrapText="1"/>
    </xf>
    <xf numFmtId="0" fontId="7" fillId="0" borderId="0" xfId="0" applyFont="1" applyAlignment="1">
      <alignment horizontal="left" vertical="center" wrapText="1"/>
    </xf>
    <xf numFmtId="2" fontId="7" fillId="0" borderId="0" xfId="0" applyNumberFormat="1" applyFont="1" applyAlignment="1">
      <alignment horizontal="left" vertical="center" wrapText="1"/>
    </xf>
    <xf numFmtId="2" fontId="5" fillId="0" borderId="0" xfId="0" applyNumberFormat="1" applyFont="1" applyAlignment="1">
      <alignment horizontal="left" vertical="center" wrapText="1"/>
    </xf>
    <xf numFmtId="49" fontId="6" fillId="0" borderId="0" xfId="0" applyNumberFormat="1" applyFont="1" applyAlignment="1">
      <alignment horizontal="left" vertical="center" wrapText="1"/>
    </xf>
    <xf numFmtId="0" fontId="5" fillId="0" borderId="0" xfId="0" applyFont="1" applyAlignment="1">
      <alignment horizontal="left" vertical="top" wrapText="1"/>
    </xf>
    <xf numFmtId="2" fontId="10" fillId="0" borderId="17" xfId="0" applyNumberFormat="1" applyFont="1" applyBorder="1" applyAlignment="1" applyProtection="1">
      <alignment horizontal="left" vertical="center" wrapText="1"/>
      <protection locked="0"/>
    </xf>
    <xf numFmtId="0" fontId="17" fillId="0" borderId="17" xfId="3" applyFill="1" applyBorder="1" applyAlignment="1" applyProtection="1">
      <alignment horizontal="left" vertical="center" wrapText="1"/>
    </xf>
    <xf numFmtId="0" fontId="10" fillId="0" borderId="14" xfId="0" applyFont="1" applyBorder="1" applyAlignment="1">
      <alignment horizontal="left" wrapText="1"/>
    </xf>
    <xf numFmtId="0" fontId="10" fillId="0" borderId="14" xfId="0" applyFont="1" applyBorder="1" applyAlignment="1" applyProtection="1">
      <alignment horizontal="left" wrapText="1"/>
      <protection locked="0"/>
    </xf>
    <xf numFmtId="0" fontId="10" fillId="0" borderId="15" xfId="0" applyFont="1" applyBorder="1" applyAlignment="1">
      <alignment horizontal="left" wrapText="1"/>
    </xf>
    <xf numFmtId="2" fontId="8" fillId="2" borderId="15" xfId="0" applyNumberFormat="1" applyFont="1" applyFill="1" applyBorder="1" applyAlignment="1">
      <alignment horizontal="left" vertical="center" wrapText="1"/>
    </xf>
    <xf numFmtId="0" fontId="16" fillId="0" borderId="0" xfId="2" applyBorder="1" applyAlignment="1" applyProtection="1">
      <alignment horizontal="left" vertical="center" wrapText="1"/>
    </xf>
    <xf numFmtId="0" fontId="11" fillId="4" borderId="10" xfId="1" applyFont="1" applyFill="1" applyBorder="1" applyAlignment="1" applyProtection="1">
      <alignment horizontal="left" vertical="center" wrapText="1"/>
    </xf>
    <xf numFmtId="0" fontId="15" fillId="0" borderId="14" xfId="1" applyFont="1" applyBorder="1" applyAlignment="1" applyProtection="1">
      <alignment horizontal="left" vertical="center" wrapText="1"/>
    </xf>
    <xf numFmtId="0" fontId="24" fillId="0" borderId="14" xfId="1" applyFont="1" applyBorder="1" applyAlignment="1" applyProtection="1">
      <alignment horizontal="left" vertical="center" wrapText="1"/>
    </xf>
    <xf numFmtId="0" fontId="15" fillId="0" borderId="15" xfId="1" applyFont="1" applyBorder="1" applyAlignment="1" applyProtection="1">
      <alignment horizontal="left" vertical="center" wrapText="1"/>
    </xf>
    <xf numFmtId="0" fontId="10" fillId="4" borderId="2" xfId="0" applyFont="1" applyFill="1" applyBorder="1" applyAlignment="1">
      <alignment horizontal="left" wrapText="1"/>
    </xf>
    <xf numFmtId="0" fontId="17" fillId="0" borderId="6" xfId="3" applyFill="1" applyBorder="1" applyAlignment="1" applyProtection="1">
      <alignment horizontal="left" vertical="center" wrapText="1"/>
    </xf>
    <xf numFmtId="0" fontId="17" fillId="2" borderId="19" xfId="3" applyFill="1" applyBorder="1" applyAlignment="1" applyProtection="1">
      <alignment horizontal="left" vertical="center" wrapText="1"/>
    </xf>
    <xf numFmtId="0" fontId="16" fillId="0" borderId="0" xfId="2" applyFill="1" applyBorder="1" applyAlignment="1" applyProtection="1">
      <alignment horizontal="left" vertical="center"/>
    </xf>
    <xf numFmtId="0" fontId="23" fillId="0" borderId="0" xfId="0" applyFont="1" applyAlignment="1">
      <alignment vertical="center"/>
    </xf>
    <xf numFmtId="0" fontId="6" fillId="0" borderId="0" xfId="0" applyFont="1"/>
    <xf numFmtId="0" fontId="17" fillId="0" borderId="0" xfId="3" applyFill="1" applyBorder="1" applyAlignment="1" applyProtection="1">
      <alignment horizontal="left" vertical="center"/>
    </xf>
    <xf numFmtId="2" fontId="6" fillId="0" borderId="0" xfId="0" applyNumberFormat="1"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cellXfs>
  <cellStyles count="4">
    <cellStyle name="Heading 1" xfId="2" builtinId="16" customBuiltin="1"/>
    <cellStyle name="Heading 2" xfId="3" builtinId="17" customBuiltin="1"/>
    <cellStyle name="Hyperlink" xfId="1" builtinId="8"/>
    <cellStyle name="Normal" xfId="0" builtinId="0"/>
  </cellStyles>
  <dxfs count="115">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bottom style="thin">
          <color indexed="64"/>
        </bottom>
      </border>
    </dxf>
    <dxf>
      <border outline="0">
        <left style="thin">
          <color auto="1"/>
        </left>
        <right style="thin">
          <color auto="1"/>
        </right>
        <top style="thin">
          <color auto="1"/>
        </top>
        <bottom style="thin">
          <color auto="1"/>
        </bottom>
      </border>
    </dxf>
    <dxf>
      <alignment horizontal="left" vertical="center" textRotation="0" wrapText="1" indent="0" justifyLastLine="0" shrinkToFit="0" readingOrder="0"/>
      <protection locked="1" hidden="0"/>
    </dxf>
    <dxf>
      <alignment horizontal="left" vertical="center" textRotation="0" indent="0" justifyLastLine="0" shrinkToFit="0" readingOrder="0"/>
      <protection locked="1" hidden="0"/>
    </dxf>
    <dxf>
      <numFmt numFmtId="0" formatCode="Genera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1" indent="0" justifyLastLine="0" shrinkToFit="0" readingOrder="0"/>
      <protection locked="1" hidden="0"/>
    </dxf>
    <dxf>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outline="0">
        <bottom style="thin">
          <color indexed="64"/>
        </bottom>
      </border>
    </dxf>
    <dxf>
      <border diagonalUp="0" diagonalDown="0">
        <left style="thin">
          <color indexed="64"/>
        </left>
        <right style="thin">
          <color indexed="64"/>
        </right>
        <top style="thin">
          <color indexed="64"/>
        </top>
        <bottom style="thin">
          <color indexed="64"/>
        </bottom>
      </border>
    </dxf>
    <dxf>
      <alignment horizontal="left" vertical="center" textRotation="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color theme="1"/>
      </font>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theme="1"/>
        </right>
        <top style="thin">
          <color auto="1"/>
        </top>
        <bottom/>
      </border>
      <protection locked="1" hidden="0"/>
    </dxf>
    <dxf>
      <alignment horizontal="left" textRotation="0" indent="0" justifyLastLine="0" shrinkToFit="0" readingOrder="0"/>
      <protection locked="1" hidden="0"/>
    </dxf>
    <dxf>
      <border outline="0">
        <bottom style="thin">
          <color auto="1"/>
        </bottom>
      </border>
    </dxf>
    <dxf>
      <border outline="0">
        <left style="thin">
          <color auto="1"/>
        </left>
        <top style="thin">
          <color auto="1"/>
        </top>
        <bottom style="thin">
          <color indexed="64"/>
        </bottom>
      </border>
    </dxf>
    <dxf>
      <alignment horizontal="left" textRotation="0" indent="0" justifyLastLine="0" shrinkToFit="0" readingOrder="0"/>
      <protection locked="1" hidden="0"/>
    </dxf>
    <dxf>
      <fill>
        <patternFill patternType="solid">
          <fgColor indexed="64"/>
          <bgColor theme="2"/>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left" textRotation="0" indent="0" justifyLastLine="0" shrinkToFit="0" readingOrder="0"/>
      <protection locked="1" hidden="0"/>
    </dxf>
    <dxf>
      <font>
        <b/>
      </font>
      <alignment horizontal="left" textRotation="0" indent="0" justifyLastLine="0" shrinkToFit="0" readingOrder="0"/>
      <border diagonalUp="0" diagonalDown="0">
        <left style="thin">
          <color indexed="64"/>
        </left>
        <right style="thin">
          <color indexed="64"/>
        </right>
        <top/>
        <bottom/>
      </border>
      <protection locked="1" hidden="0"/>
    </dxf>
    <dxf>
      <fill>
        <patternFill>
          <bgColor rgb="FFE2EFDA"/>
        </patternFill>
      </fill>
    </dxf>
    <dxf>
      <font>
        <strike val="0"/>
        <outline val="0"/>
        <shadow val="0"/>
        <vertAlign val="baseline"/>
        <sz val="12"/>
        <name val="Arial"/>
        <family val="2"/>
        <scheme val="none"/>
      </font>
      <alignment horizontal="lef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Arial"/>
        <family val="2"/>
        <scheme val="none"/>
      </font>
      <alignment horizontal="left" vertical="center" textRotation="0" indent="0" justifyLastLine="0" shrinkToFit="0" readingOrder="0"/>
    </dxf>
    <dxf>
      <font>
        <b/>
        <strike val="0"/>
        <outline val="0"/>
        <shadow val="0"/>
        <u val="none"/>
        <vertAlign val="baseline"/>
        <color auto="1"/>
        <name val="Arial"/>
        <family val="2"/>
        <scheme val="none"/>
      </font>
      <fill>
        <patternFill patternType="solid">
          <fgColor indexed="64"/>
          <bgColor theme="2"/>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vertAlign val="baseline"/>
        <name val="Arial"/>
        <family val="2"/>
        <scheme val="none"/>
      </font>
      <alignment horizontal="left" vertical="center" textRotation="0" indent="0" justifyLastLine="0" shrinkToFit="0" readingOrder="0"/>
    </dxf>
    <dxf>
      <font>
        <b/>
        <strike val="0"/>
        <outline val="0"/>
        <shadow val="0"/>
        <vertAlign val="baseline"/>
        <name val="Arial"/>
        <family val="2"/>
        <scheme val="none"/>
      </font>
      <fill>
        <patternFill patternType="solid">
          <fgColor indexed="64"/>
          <bgColor theme="2"/>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EDEDED"/>
      <color rgb="FFE2EFDA"/>
      <color rgb="FF000000"/>
      <color rgb="FF449669"/>
      <color rgb="FFF7E8BE"/>
      <color rgb="FF9DD3BE"/>
      <color rgb="FFAAC7EE"/>
      <color rgb="FFF3EEDD"/>
      <color rgb="FF9DDBBE"/>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BF9311-A278-4083-BF4D-937B4AAC2ED7}" name="Table_1_Links" displayName="Table_1_Links" ref="A9:B15" totalsRowShown="0" headerRowDxfId="114" dataDxfId="113">
  <autoFilter ref="A9:B15" xr:uid="{7EBF9311-A278-4083-BF4D-937B4AAC2ED7}">
    <filterColumn colId="0" hiddenButton="1"/>
    <filterColumn colId="1" hiddenButton="1"/>
  </autoFilter>
  <tableColumns count="2">
    <tableColumn id="1" xr3:uid="{EC08AA9D-D8AA-4D04-81C0-5F70E5CFF32B}" name="Topic of each table" dataDxfId="112"/>
    <tableColumn id="2" xr3:uid="{8626C486-F03D-46F8-B4FF-6F484971E7CB}" name="Link to each worksheet" dataDxfId="111"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4981484-4795-461F-A3C7-626CD012A06C}" name="Table_2_Links" displayName="Table_2_Links" ref="A40:B44" totalsRowShown="0" headerRowDxfId="110" dataDxfId="109" headerRowBorderDxfId="107" tableBorderDxfId="108" totalsRowBorderDxfId="106">
  <autoFilter ref="A40:B44" xr:uid="{64981484-4795-461F-A3C7-626CD012A06C}">
    <filterColumn colId="0" hiddenButton="1"/>
    <filterColumn colId="1" hiddenButton="1"/>
  </autoFilter>
  <tableColumns count="2">
    <tableColumn id="1" xr3:uid="{7B0543B4-03E3-4FAF-BFF9-98B834A2A253}" name="Description of the information:" dataDxfId="105"/>
    <tableColumn id="2" xr3:uid="{5C5EB3D3-CF00-43BE-8853-5602F78856CB}" name="Link" dataDxfId="104"/>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02" dataDxfId="101" headerRowBorderDxfId="99" tableBorderDxfId="100" totalsRowBorderDxfId="98">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97"/>
    <tableColumn id="2" xr3:uid="{D22CDBE7-9B75-4248-A951-0D061DAA9F1C}" name="Data entry column" dataDxfId="96"/>
    <tableColumn id="4" xr3:uid="{20424A8D-23FA-4C1D-B394-6A4A0726E8D6}" name="Additional data entry column" dataDxfId="95"/>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94" dataDxfId="93" headerRowBorderDxfId="91" tableBorderDxfId="92">
  <autoFilter ref="A14:B22" xr:uid="{B50C45A2-2A77-478E-B226-DC5B3B2EA72E}">
    <filterColumn colId="0" hiddenButton="1"/>
    <filterColumn colId="1" hiddenButton="1"/>
  </autoFilter>
  <tableColumns count="2">
    <tableColumn id="1" xr3:uid="{FA8C78F6-50A3-498F-8975-6D1EC817B86B}" name="Description of values generated" dataDxfId="90"/>
    <tableColumn id="2" xr3:uid="{150A0AA5-FDF2-4BA1-A9A8-36A566F3E6CC}" name="Values generated" dataDxfId="89"/>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87" dataDxfId="86" headerRowBorderDxfId="84" tableBorderDxfId="85" totalsRowBorderDxfId="83">
  <autoFilter ref="A4:B8" xr:uid="{E51AE02F-7B0C-4640-BEBD-8FD46432F29C}">
    <filterColumn colId="0" hiddenButton="1"/>
    <filterColumn colId="1" hiddenButton="1"/>
  </autoFilter>
  <tableColumns count="2">
    <tableColumn id="1" xr3:uid="{C513A266-837A-4378-8552-D156135B549F}" name="Description of required information" dataDxfId="82"/>
    <tableColumn id="2" xr3:uid="{9FEADC6D-D9F7-40A8-AB95-390DAB627A00}" name="Data entry Column" dataDxfId="81"/>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0" dataDxfId="79" headerRowBorderDxfId="77" tableBorderDxfId="78" totalsRowBorderDxfId="76">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dataDxfId="75"/>
    <tableColumn id="2" xr3:uid="{DA6AF240-7DDF-40CC-B3C9-0A6C10900A68}" name="Area (ha)" dataDxfId="74"/>
    <tableColumn id="4" xr3:uid="{D46D9DE3-2913-45A9-81EF-5C0B16A60B70}" name="Annual phosphorus export  _x000a_(kg TP/yr)" dataDxfId="73"/>
    <tableColumn id="5" xr3:uid="{B35F3CE8-F7D9-4526-B8D6-064B09EE0E77}" name="Notes on data" dataDxfId="7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71" dataDxfId="70">
  <autoFilter ref="A4:C22" xr:uid="{4057B598-0CAB-42EF-BD1C-CD9464EFF558}">
    <filterColumn colId="0" hiddenButton="1"/>
    <filterColumn colId="1" hiddenButton="1"/>
    <filterColumn colId="2" hiddenButton="1"/>
  </autoFilter>
  <tableColumns count="3">
    <tableColumn id="1" xr3:uid="{E733CC69-D292-417A-89E1-BDB32D6E70AE}" name="New land use type(s)" dataDxfId="69"/>
    <tableColumn id="2" xr3:uid="{2BF0443C-5885-452F-9860-409F1647E1C1}" name="Area (ha)" dataDxfId="68"/>
    <tableColumn id="4" xr3:uid="{D4EA72A6-0C9C-4A1E-8AAC-10EB38F195A8}" name="Annual phosphorus export_x000a_(kg TP/yr)" dataDxfId="67"/>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3:H29" totalsRowShown="0" headerRowDxfId="66" dataDxfId="65">
  <autoFilter ref="A3:H29"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dataDxfId="64"/>
    <tableColumn id="2" xr3:uid="{72D29FD7-7898-4191-A97D-55B2AC2A6039}" name="SuDS catchment area (ha)" dataDxfId="63"/>
    <tableColumn id="10" xr3:uid="{C118AB6C-A0C7-46A0-B4D4-823E8172F281}" name="Percentage of flow entering the SuDS (%)" dataDxfId="62"/>
    <tableColumn id="4" xr3:uid="{C9DF269B-9235-47CA-9628-CA0EAEA7E887}" name="Annual phosphorus inputs to SuDS feature(s)_x000a_(kg T/yr)" dataDxfId="61">
      <calculatedColumnFormula>IFERROR(IF(ISBLANK(A4),"",IF(ISBLANK(B4),"",VLOOKUP(A4,Nutrients_from_future_land_use!$A$5:$C$21,4,FALSE)*(B4/VLOOKUP(A4,Nutrients_from_future_land_use!$A$5:$C$21,2,FALSE)))),"")</calculatedColumnFormula>
    </tableColumn>
    <tableColumn id="5" xr3:uid="{95439CAD-05D0-4028-94D4-451B848D06FE}" name="Name of SuDS feature(s)" dataDxfId="60"/>
    <tableColumn id="8" xr3:uid="{6CE040BE-33E5-44DA-B389-E1BC789E21E5}" name="TP removal rate for features - user specified (%)" dataDxfId="59">
      <calculatedColumnFormula>IF(OR(#REF!="No",ISBLANK(#REF!)),"",IF(#REF!="Yes","","TN removal rate - user specified (%)"))</calculatedColumnFormula>
    </tableColumn>
    <tableColumn id="14" xr3:uid="{1156F97A-C06E-4041-A8E9-274F94CC02BE}" name="Annual phosphorus load removed by SuDS_x000a_(kg TP/yr)" dataDxfId="58"/>
    <tableColumn id="6" xr3:uid="{E06A970A-6835-4E49-9119-FEAF7BC8D4A0}" name="Notes on data" dataDxfId="57">
      <calculatedColumnFormula>IF(SUMIFS($B$4:$B$28,$A$4:$A$28,A4)&gt;SUMIFS(Nutrients_from_future_land_use!$B$5:$B$21,Nutrients_from_future_land_use!$A$5:$A$21,A4),"Area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56" dataDxfId="55" headerRowBorderDxfId="53" tableBorderDxfId="54" totalsRowBorderDxfId="52">
  <autoFilter ref="A4:B14" xr:uid="{A0BD0106-977A-4B15-9C53-C66CDF6772BD}">
    <filterColumn colId="0" hiddenButton="1"/>
    <filterColumn colId="1" hiddenButton="1"/>
  </autoFilter>
  <tableColumns count="2">
    <tableColumn id="1" xr3:uid="{31004191-352C-44A7-A242-30E88F4CD5ED}" name="Description of values generated" dataDxfId="51"/>
    <tableColumn id="2" xr3:uid="{C357CE45-1FD7-4EF9-804B-579D3A1CC1A7}" name="Values generated" dataDxfId="50"/>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345:A362" totalsRowShown="0" headerRowDxfId="49" dataDxfId="48">
  <autoFilter ref="A345:A362" xr:uid="{27E373C5-D0CE-42F2-9526-68F6C3493A4E}">
    <filterColumn colId="0" hiddenButton="1"/>
  </autoFilter>
  <tableColumns count="1">
    <tableColumn id="1" xr3:uid="{53B368C1-8BC9-40BE-BF12-2BD44CBABE8A}" name="All Possible Landcover Types" dataDxfId="47"/>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340:B342" totalsRowShown="0" headerRowDxfId="46" dataDxfId="45">
  <autoFilter ref="A340:B342" xr:uid="{92ED230A-D03F-4AFE-B6E2-A2C0CA247A6E}">
    <filterColumn colId="0" hiddenButton="1"/>
    <filterColumn colId="1" hiddenButton="1"/>
  </autoFilter>
  <tableColumns count="2">
    <tableColumn id="1" xr3:uid="{733091DA-D7C2-4BC5-B808-44E4059922C0}" name="NVZ" dataDxfId="44"/>
    <tableColumn id="2" xr3:uid="{F0C58FBC-95F8-49DE-8689-2F83AB0C11EB}" name="Farmscoper equivalent" dataDxfId="43"/>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331:C337" totalsRowShown="0" headerRowDxfId="42" dataDxfId="41">
  <autoFilter ref="A331:C337" xr:uid="{1A6CB2E1-69B4-4AD4-994C-659133C27DDB}">
    <filterColumn colId="0" hiddenButton="1"/>
    <filterColumn colId="1" hiddenButton="1"/>
    <filterColumn colId="2" hiddenButton="1"/>
  </autoFilter>
  <tableColumns count="3">
    <tableColumn id="1" xr3:uid="{22766906-A0A6-4E97-AF30-1597153F0350}" name="Soilscape drainage term" dataDxfId="40"/>
    <tableColumn id="2" xr3:uid="{F002BB36-823A-4836-A21B-B579E90BABD3}" name="Farmscoper term" dataDxfId="39"/>
    <tableColumn id="3" xr3:uid="{9175DC56-F38C-4D28-A172-11226D1D23E9}" name="Definition" dataDxfId="38"/>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327:B328" totalsRowShown="0" headerRowDxfId="37" dataDxfId="36">
  <autoFilter ref="A327:B328" xr:uid="{91B3FB2B-EB57-4104-B68D-005ACE17DAAA}">
    <filterColumn colId="0" hiddenButton="1"/>
    <filterColumn colId="1" hiddenButton="1"/>
  </autoFilter>
  <tableColumns count="2">
    <tableColumn id="1" xr3:uid="{89EA0223-64FE-4218-878D-A564ADBADDD1}" name="Operational Catchment" dataDxfId="35"/>
    <tableColumn id="2" xr3:uid="{EFCB9C34-1A22-413A-B569-EB7D0539CE10}" name="Farmscoper equivalent" dataDxfId="34"/>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301:K324" totalsRowShown="0" headerRowDxfId="33" dataDxfId="32">
  <autoFilter ref="A301:K324"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1"/>
    <tableColumn id="2" xr3:uid="{6314E66D-7991-4DDA-9A1D-1FE2961CCE28}" name="Mid" dataDxfId="30"/>
    <tableColumn id="3" xr3:uid="{0B72D170-B3FB-410B-B94E-238D55DCBE68}" name="Farmscoper Equivalent" dataDxfId="29"/>
    <tableColumn id="4" xr3:uid="{0F992BC0-BDCD-49A0-800D-DE9390E83D4D}" name="P Urban Runoff Coefficient " dataDxfId="28"/>
    <tableColumn id="5" xr3:uid="{CC4E8ED1-10B1-497F-85BB-B21C5930A734}" name="N Urban Runoff Coefficient (kg/ha/yr)" dataDxfId="27"/>
    <tableColumn id="6" xr3:uid="{8AA02858-4B6E-42E1-8EB2-D3C4BAB72698}" name="Residential P export coefficient (kg/ha/yr)" dataDxfId="26"/>
    <tableColumn id="7" xr3:uid="{24BE5444-EEC8-44A1-8B49-79261DDC1D84}" name="Commercial / industrial P export coefficient (kg/ha/yr)" dataDxfId="25"/>
    <tableColumn id="8" xr3:uid="{3D907FB1-AFBD-4D65-A7C1-7FCBDBA7E010}" name="Open urban P export coefficient (kg/ha/yr)" dataDxfId="24"/>
    <tableColumn id="9" xr3:uid="{659D953B-CEE1-475B-B79F-09EDE2124F89}" name="Residential P export coefficient (kg/ha/yr)2" dataDxfId="23"/>
    <tableColumn id="10" xr3:uid="{B077E248-9579-43F2-9FD4-BCCA722D6FC1}" name="Commercial / industrial P export coefficient (kg/ha/yr)3" dataDxfId="22"/>
    <tableColumn id="11" xr3:uid="{106BF2CF-BA30-4A6D-AF89-E886BEBDE8D6}" name="Open urban P export coefficient (kg/ha/yr)4" dataDxfId="21"/>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38:M298" totalsRowShown="0" headerRowDxfId="20" dataDxfId="19">
  <autoFilter ref="A38:M298"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18"/>
    <tableColumn id="2" xr3:uid="{B8D75754-E7F8-4B85-993C-7907E45F1CAE}" name="Farmscoper Farm Term" dataDxfId="17"/>
    <tableColumn id="3" xr3:uid="{EC77A0A4-C437-4818-A316-7C71A29A7121}" name="NVZ" dataDxfId="16"/>
    <tableColumn id="4" xr3:uid="{B98F73F4-9677-4844-877F-8A359508FB3B}" name="Climate" dataDxfId="15"/>
    <tableColumn id="5" xr3:uid="{7C621915-7D3D-4055-8347-C883D9EE99FE}" name="Farmscoper Soil Drainage Term" dataDxfId="14"/>
    <tableColumn id="6" xr3:uid="{4C66E893-8377-439B-93D4-1CE695F419C9}" name="Lookup" dataDxfId="13">
      <calculatedColumnFormula>"|"&amp;"|"&amp;"|"&amp;E39</calculatedColumnFormula>
    </tableColumn>
    <tableColumn id="7" xr3:uid="{CF6B9BF0-3AFB-4049-8321-66DDFD8F9508}" name="Column3" dataDxfId="12"/>
    <tableColumn id="8" xr3:uid="{EBD2571A-6A4E-4448-BEB2-CCC5A7E48254}" name="Phosphorus export coefficient" dataDxfId="11"/>
    <tableColumn id="9" xr3:uid="{96CC571C-13E4-474B-8016-76B1B26E6BAE}" name="Farm Lookup" dataDxfId="10"/>
    <tableColumn id="10" xr3:uid="{511A3753-F9BA-45C6-B34A-6CC17D10251D}" name="Column1" dataDxfId="9"/>
    <tableColumn id="11" xr3:uid="{A4A4CA5F-B40A-4D96-B1F7-2F58E7D4D811}" name="Mean P export of farm type and climate combination" dataDxfId="8"/>
    <tableColumn id="12" xr3:uid="{6A6F3AA5-4A40-440E-9BBC-E26F5AF39750}" name="Column2" dataDxfId="7"/>
    <tableColumn id="13" xr3:uid="{EF05C3C7-DB49-4B8E-8C81-E6CFAC3E3633}" name="Mean P export of farm type" dataDxfId="6"/>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35" totalsRowShown="0" headerRowDxfId="5" dataDxfId="4">
  <autoFilter ref="A4:D35"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3"/>
    <tableColumn id="2" xr3:uid="{1CC474C8-63E1-4F68-A098-5E908E40DA49}" name="Phosphorus, Total as P (mg/l)" dataDxfId="2"/>
    <tableColumn id="3" xr3:uid="{2E3488FB-E48E-4A15-AFE7-EF2D95C19F27}" name="Phosphorus, Total as P (mg/l), permit post 2025" dataDxfId="1"/>
    <tableColumn id="4" xr3:uid="{94BDE985-E688-430A-9815-4EDF1FE7157B}" name="Phosphorus, Total as P (mg/l), permit post 2030"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7" Type="http://schemas.openxmlformats.org/officeDocument/2006/relationships/table" Target="../tables/table2.xml"/><Relationship Id="rId2" Type="http://schemas.openxmlformats.org/officeDocument/2006/relationships/hyperlink" Target="https://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nrfa.ceh.ac.uk/data/station/spatial/34004"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6"/>
  <sheetViews>
    <sheetView tabSelected="1" zoomScaleNormal="100" workbookViewId="0"/>
  </sheetViews>
  <sheetFormatPr defaultColWidth="8.85546875" defaultRowHeight="15"/>
  <cols>
    <col min="1" max="1" width="147.140625" style="3" customWidth="1"/>
    <col min="2" max="2" width="44.85546875" style="3" customWidth="1"/>
    <col min="3" max="207" width="8.5703125" style="3" customWidth="1"/>
    <col min="208" max="16384" width="8.85546875" style="3"/>
  </cols>
  <sheetData>
    <row r="1" spans="1:2" ht="50.25" customHeight="1">
      <c r="A1" s="106" t="s">
        <v>0</v>
      </c>
    </row>
    <row r="2" spans="1:2" ht="26.25" customHeight="1">
      <c r="A2" s="2" t="s">
        <v>1</v>
      </c>
    </row>
    <row r="3" spans="1:2" ht="30.75" customHeight="1">
      <c r="A3" s="2" t="s">
        <v>2</v>
      </c>
    </row>
    <row r="4" spans="1:2" ht="26.25" customHeight="1">
      <c r="A4" s="2" t="s">
        <v>3</v>
      </c>
    </row>
    <row r="5" spans="1:2" ht="26.25" customHeight="1">
      <c r="A5" s="3" t="s">
        <v>4</v>
      </c>
    </row>
    <row r="6" spans="1:2" ht="45.95" customHeight="1">
      <c r="A6" s="3" t="s">
        <v>5</v>
      </c>
    </row>
    <row r="7" spans="1:2" ht="36" customHeight="1">
      <c r="A7" s="3" t="s">
        <v>6</v>
      </c>
    </row>
    <row r="8" spans="1:2" ht="37.5" customHeight="1">
      <c r="A8" s="11" t="s">
        <v>7</v>
      </c>
    </row>
    <row r="9" spans="1:2" ht="15.75">
      <c r="A9" s="12" t="s">
        <v>8</v>
      </c>
      <c r="B9" s="12" t="s">
        <v>9</v>
      </c>
    </row>
    <row r="10" spans="1:2" ht="18.75" customHeight="1">
      <c r="A10" s="70" t="s">
        <v>10</v>
      </c>
      <c r="B10" s="71" t="s">
        <v>11</v>
      </c>
    </row>
    <row r="11" spans="1:2" ht="18.75" customHeight="1">
      <c r="A11" s="70" t="s">
        <v>12</v>
      </c>
      <c r="B11" s="71" t="s">
        <v>13</v>
      </c>
    </row>
    <row r="12" spans="1:2" ht="18.75" customHeight="1">
      <c r="A12" s="70" t="s">
        <v>14</v>
      </c>
      <c r="B12" s="71" t="s">
        <v>15</v>
      </c>
    </row>
    <row r="13" spans="1:2" ht="18.75" customHeight="1">
      <c r="A13" s="70" t="s">
        <v>16</v>
      </c>
      <c r="B13" s="71" t="s">
        <v>17</v>
      </c>
    </row>
    <row r="14" spans="1:2" ht="18.75" customHeight="1">
      <c r="A14" s="70" t="s">
        <v>18</v>
      </c>
      <c r="B14" s="71" t="s">
        <v>19</v>
      </c>
    </row>
    <row r="15" spans="1:2" ht="37.5" customHeight="1">
      <c r="A15" s="11" t="s">
        <v>20</v>
      </c>
      <c r="B15" s="72"/>
    </row>
    <row r="16" spans="1:2" ht="20.25" customHeight="1">
      <c r="A16" s="2" t="s">
        <v>21</v>
      </c>
    </row>
    <row r="17" spans="1:1" ht="36.75" customHeight="1">
      <c r="A17" s="2" t="s">
        <v>22</v>
      </c>
    </row>
    <row r="18" spans="1:1" ht="36.75" customHeight="1">
      <c r="A18" s="2" t="s">
        <v>23</v>
      </c>
    </row>
    <row r="19" spans="1:1" ht="65.45" customHeight="1">
      <c r="A19" s="2" t="s">
        <v>24</v>
      </c>
    </row>
    <row r="20" spans="1:1" ht="33" customHeight="1">
      <c r="A20" s="2" t="s">
        <v>25</v>
      </c>
    </row>
    <row r="21" spans="1:1" ht="17.25" customHeight="1">
      <c r="A21" s="3" t="s">
        <v>26</v>
      </c>
    </row>
    <row r="22" spans="1:1" ht="17.25" customHeight="1">
      <c r="A22" s="2" t="s">
        <v>27</v>
      </c>
    </row>
    <row r="23" spans="1:1" ht="17.25" customHeight="1">
      <c r="A23" s="2" t="s">
        <v>28</v>
      </c>
    </row>
    <row r="24" spans="1:1" ht="36" customHeight="1">
      <c r="A24" s="2" t="s">
        <v>29</v>
      </c>
    </row>
    <row r="25" spans="1:1" ht="51" customHeight="1">
      <c r="A25" s="2" t="s">
        <v>30</v>
      </c>
    </row>
    <row r="26" spans="1:1" ht="34.5" customHeight="1">
      <c r="A26" s="2" t="s">
        <v>31</v>
      </c>
    </row>
    <row r="27" spans="1:1" ht="37.5" customHeight="1">
      <c r="A27" s="11" t="s">
        <v>32</v>
      </c>
    </row>
    <row r="28" spans="1:1" ht="20.25" customHeight="1">
      <c r="A28" s="3" t="s">
        <v>33</v>
      </c>
    </row>
    <row r="29" spans="1:1" ht="50.25" customHeight="1">
      <c r="A29" s="3" t="s">
        <v>34</v>
      </c>
    </row>
    <row r="30" spans="1:1" ht="51.75" customHeight="1">
      <c r="A30" s="3" t="s">
        <v>35</v>
      </c>
    </row>
    <row r="31" spans="1:1" ht="84.75" customHeight="1">
      <c r="A31" s="3" t="s">
        <v>36</v>
      </c>
    </row>
    <row r="32" spans="1:1" ht="79.5" customHeight="1">
      <c r="A32" s="3" t="s">
        <v>37</v>
      </c>
    </row>
    <row r="33" spans="1:2" ht="36" customHeight="1">
      <c r="A33" s="3" t="s">
        <v>38</v>
      </c>
    </row>
    <row r="34" spans="1:2" ht="66.75" customHeight="1">
      <c r="A34" s="3" t="s">
        <v>39</v>
      </c>
    </row>
    <row r="35" spans="1:2" ht="37.5" customHeight="1">
      <c r="A35" s="11" t="s">
        <v>40</v>
      </c>
    </row>
    <row r="36" spans="1:2" ht="79.5" customHeight="1">
      <c r="A36" s="3" t="s">
        <v>41</v>
      </c>
    </row>
    <row r="37" spans="1:2" ht="64.5" customHeight="1">
      <c r="A37" s="3" t="s">
        <v>42</v>
      </c>
    </row>
    <row r="38" spans="1:2" ht="18" customHeight="1">
      <c r="A38" s="3" t="s">
        <v>43</v>
      </c>
    </row>
    <row r="39" spans="1:2" ht="37.5" customHeight="1">
      <c r="A39" s="11" t="s">
        <v>44</v>
      </c>
    </row>
    <row r="40" spans="1:2" ht="15.75">
      <c r="A40" s="69" t="s">
        <v>45</v>
      </c>
      <c r="B40" s="107" t="s">
        <v>46</v>
      </c>
    </row>
    <row r="41" spans="1:2" ht="31.5" customHeight="1">
      <c r="A41" s="35" t="s">
        <v>47</v>
      </c>
      <c r="B41" s="108" t="s">
        <v>48</v>
      </c>
    </row>
    <row r="42" spans="1:2" ht="19.5" customHeight="1">
      <c r="A42" s="35" t="s">
        <v>49</v>
      </c>
      <c r="B42" s="108" t="s">
        <v>50</v>
      </c>
    </row>
    <row r="43" spans="1:2" ht="35.25" customHeight="1">
      <c r="A43" s="35" t="s">
        <v>51</v>
      </c>
      <c r="B43" s="109" t="s">
        <v>52</v>
      </c>
    </row>
    <row r="44" spans="1:2" ht="32.25" customHeight="1">
      <c r="A44" s="60" t="s">
        <v>53</v>
      </c>
      <c r="B44" s="110" t="s">
        <v>54</v>
      </c>
    </row>
    <row r="45" spans="1:2" ht="37.5" customHeight="1">
      <c r="A45" s="85" t="s">
        <v>55</v>
      </c>
      <c r="B45" s="84"/>
    </row>
    <row r="46" spans="1:2" ht="51.75" customHeight="1">
      <c r="A46" s="3" t="s">
        <v>56</v>
      </c>
    </row>
    <row r="47" spans="1:2" ht="68.25" customHeight="1">
      <c r="A47" s="3" t="s">
        <v>57</v>
      </c>
    </row>
    <row r="48" spans="1:2" ht="18" customHeight="1">
      <c r="A48" s="3" t="s">
        <v>43</v>
      </c>
    </row>
    <row r="49" spans="1:1" ht="37.5" customHeight="1">
      <c r="A49" s="11" t="s">
        <v>58</v>
      </c>
    </row>
    <row r="50" spans="1:1" ht="36.75" customHeight="1">
      <c r="A50" s="2" t="s">
        <v>59</v>
      </c>
    </row>
    <row r="51" spans="1:1" ht="158.1" customHeight="1">
      <c r="A51" s="2" t="s">
        <v>60</v>
      </c>
    </row>
    <row r="52" spans="1:1" ht="37.5" customHeight="1">
      <c r="A52" s="11" t="s">
        <v>61</v>
      </c>
    </row>
    <row r="53" spans="1:1" ht="35.25" customHeight="1">
      <c r="A53" s="3" t="s">
        <v>62</v>
      </c>
    </row>
    <row r="54" spans="1:1" ht="23.25" customHeight="1">
      <c r="A54" s="3" t="s">
        <v>63</v>
      </c>
    </row>
    <row r="55" spans="1:1" ht="39" customHeight="1">
      <c r="A55" s="3" t="s">
        <v>64</v>
      </c>
    </row>
    <row r="66" spans="1:1" ht="15.75">
      <c r="A66" s="43"/>
    </row>
  </sheetData>
  <sheetProtection algorithmName="SHA-512" hashValue="cI2eo2ULWzfiGJ+Yhs0iiXEvBzRPOG2Zl/SP2mjXJsAlgxEjuXgfRtoqSKdFHtcvKG8EZb2gNvDSTpNTmN07rg==" saltValue="jZSgQXZwptBuDjcgVLUH5g==" spinCount="100000" sheet="1" objects="1" scenarios="1"/>
  <hyperlinks>
    <hyperlink ref="B10" location="Nutrients_from_wastewater!A1" display="Nutrients from wastewater" xr:uid="{E36A1043-AB91-4942-BD3A-CCA4FEFDBABA}"/>
    <hyperlink ref="B11" location="Nutrients_from_current_land_use!A1" display="Nutrients from current land use" xr:uid="{CFF94702-FC5B-4FE0-9876-AD7BF54E11C4}"/>
    <hyperlink ref="B12" location="Nutrients_from_future_land_use!A1" display="Nutrients from future land use" xr:uid="{071ABFEB-913E-4634-A3E2-439DCBD9E445}"/>
    <hyperlink ref="B14" location="Final_nutrient_budgets!A1" display="Final_nutrient_budgets" xr:uid="{60A04C2C-8C4C-42F0-9154-88681F7D2227}"/>
    <hyperlink ref="B13" location="SuDS!A1" display="SuDS" xr:uid="{253465E3-58BA-4871-ADD4-19A1C27D809E}"/>
    <hyperlink ref="B41" r:id="rId1" xr:uid="{0F48C9B9-026B-4FFB-ACBE-0F8CA6240AAD}"/>
    <hyperlink ref="B42" r:id="rId2" location="." xr:uid="{2871AC31-C0A3-4C0A-B4E6-5BD88AD10E7B}"/>
    <hyperlink ref="B44" r:id="rId3" xr:uid="{B825DA77-EE8A-4059-989B-D2381E895B1A}"/>
    <hyperlink ref="B43" r:id="rId4" xr:uid="{8E480430-51C5-4A14-AE96-60F3A62EC698}"/>
  </hyperlinks>
  <pageMargins left="0.7" right="0.7" top="0.75" bottom="0.75" header="0.3" footer="0.3"/>
  <pageSetup paperSize="9" orientation="portrait" r:id="rId5"/>
  <tableParts count="2">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topLeftCell="A4" zoomScaleNormal="100" workbookViewId="0">
      <selection activeCell="B9" sqref="B9"/>
    </sheetView>
  </sheetViews>
  <sheetFormatPr defaultColWidth="8.85546875" defaultRowHeight="15"/>
  <cols>
    <col min="1" max="1" width="90.7109375" style="46" customWidth="1"/>
    <col min="2" max="2" width="54.7109375" style="46" customWidth="1"/>
    <col min="3" max="6" width="30.5703125" style="46" customWidth="1"/>
    <col min="7" max="360" width="8.5703125" style="46" customWidth="1"/>
    <col min="361" max="16384" width="8.85546875" style="46"/>
  </cols>
  <sheetData>
    <row r="1" spans="1:5" ht="44.25" customHeight="1">
      <c r="A1" s="45" t="s">
        <v>11</v>
      </c>
    </row>
    <row r="2" spans="1:5" ht="409.5" customHeight="1">
      <c r="A2" s="32" t="s">
        <v>65</v>
      </c>
    </row>
    <row r="3" spans="1:5" ht="37.5" customHeight="1">
      <c r="A3" s="112" t="s">
        <v>66</v>
      </c>
      <c r="B3" s="21"/>
      <c r="C3" s="2"/>
    </row>
    <row r="4" spans="1:5" ht="31.5">
      <c r="A4" s="69" t="s">
        <v>67</v>
      </c>
      <c r="B4" s="65" t="s">
        <v>68</v>
      </c>
      <c r="C4" s="65" t="s">
        <v>69</v>
      </c>
    </row>
    <row r="5" spans="1:5" ht="15.75">
      <c r="A5" s="9" t="s">
        <v>70</v>
      </c>
      <c r="B5" s="47"/>
      <c r="C5" s="102"/>
    </row>
    <row r="6" spans="1:5" ht="15.75">
      <c r="A6" s="9" t="s">
        <v>71</v>
      </c>
      <c r="B6" s="18">
        <v>2.4</v>
      </c>
      <c r="C6" s="102"/>
    </row>
    <row r="7" spans="1:5" ht="15.75">
      <c r="A7" s="9" t="s">
        <v>72</v>
      </c>
      <c r="B7" s="48">
        <v>120</v>
      </c>
      <c r="C7" s="102"/>
    </row>
    <row r="8" spans="1:5" ht="123.95" customHeight="1">
      <c r="A8" s="9" t="s">
        <v>73</v>
      </c>
      <c r="B8" s="48"/>
      <c r="C8" s="102"/>
    </row>
    <row r="9" spans="1:5" ht="30.75" customHeight="1">
      <c r="A9" s="9" t="s">
        <v>74</v>
      </c>
      <c r="B9" s="48"/>
      <c r="C9" s="102"/>
    </row>
    <row r="10" spans="1:5" ht="15.75">
      <c r="A10" s="9" t="s">
        <v>75</v>
      </c>
      <c r="B10" s="49" t="str">
        <f>IFERROR(IF(OR(B9="Package Treatment Plant user defined",B9="Septic Tank user defined"),"Please enter value in cell to the right:",IF(AND(B5&lt;DATE(2025,1,1)),VLOOKUP(B9,Value_look_up_tables!$A$5:$J$35,2,FALSE),IF(AND(B5&lt;DATE(2025,1,1)),VLOOKUP(B9,Value_look_up_tables!$A$5:$J$35,2,FALSE),IF(AND(B5&lt;DATE(2030,4,1),B5&gt;=DATE(2025,1,1)),VLOOKUP(B9,Value_look_up_tables!$A$5:$J$35,3,FALSE),IF(AND(B5&lt;DATE(2030,4,1),B5&gt;=DATE(2025,1,1)),IF(AND(B5&lt;DATE(2030,4,1)),VLOOKUP(B9,Value_look_up_tables!$A$5:$J$35,2,FALSE),IF(AND(B5&lt;DATE(2030,4,1)),VLOOKUP(B9,Value_look_up_tables!$A$5:$J$35,3,FALSE),IF(AND(B5&gt;=DATE(2030,4,1)),VLOOKUP(B9,Value_look_up_tables!$A$5:$J$35,4,FALSE),IF(AND(B5&gt;=DATE(2030,4,1)),VLOOKUP(B9,Value_look_up_tables!$A$5:$J$35,4,FALSE),"")))),VLOOKUP(B9,Value_look_up_tables!$A$5:$J$35,4,FALSE)))))),"")</f>
        <v/>
      </c>
      <c r="C10" s="103"/>
      <c r="D10" s="50"/>
    </row>
    <row r="11" spans="1:5" ht="20.100000000000001" customHeight="1">
      <c r="A11" s="9" t="str">
        <f>IFERROR(IF(AND($B$5&lt;DATE(2025,1,1),(VLOOKUP($B$9,Value_look_up_tables!$A$5:$E$33,2,FALSE))&gt;(VLOOKUP($B$9,Value_look_up_tables!$A$5:$E$33,3,FALSE))), "Post 2025 WwTW P permit (mg TP/litre):",""),"")</f>
        <v/>
      </c>
      <c r="B11" s="49" t="str">
        <f>IFERROR(IF(AND($B$5&lt;DATE(2025,1,1),(VLOOKUP($B$9,Value_look_up_tables!$A$5:$J$33,2,FALSE))&gt;(VLOOKUP($B$9,Value_look_up_tables!$A$5:$J$33,3,FALSE))),VLOOKUP(B9,Value_look_up_tables!$A$5:$J$36,3,FALSE),""),"")</f>
        <v/>
      </c>
      <c r="C11" s="102"/>
    </row>
    <row r="12" spans="1:5" ht="20.100000000000001" customHeight="1">
      <c r="A12" s="6" t="str">
        <f>IFERROR(IF(AND($B$5&lt;DATE(2030,4,1),(VLOOKUP($B$9,Value_look_up_tables!$A$5:$J$33,3,FALSE))&gt;(VLOOKUP($B$9,Value_look_up_tables!$A$5:$J$33,4,FALSE))), "Post 2030 WwTW P permit (mg TP/litre):",""),"")</f>
        <v/>
      </c>
      <c r="B12" s="19" t="str">
        <f>IFERROR(IF(AND($B$5&lt;DATE(2030,4,1),(VLOOKUP($B$9,Value_look_up_tables!$A$5:$J$33,3,FALSE))&gt;(VLOOKUP($B$9,Value_look_up_tables!$A$5:$J$33,4,FALSE))), VLOOKUP(B9,Value_look_up_tables!$A$5:$J$36,4,FALSE),""),"")</f>
        <v/>
      </c>
      <c r="C12" s="104"/>
      <c r="E12" s="46" t="s">
        <v>76</v>
      </c>
    </row>
    <row r="13" spans="1:5" ht="37.5" customHeight="1">
      <c r="A13" s="113" t="s">
        <v>77</v>
      </c>
      <c r="B13" s="51"/>
    </row>
    <row r="14" spans="1:5" ht="15.75">
      <c r="A14" s="62" t="s">
        <v>78</v>
      </c>
      <c r="B14" s="63" t="s">
        <v>79</v>
      </c>
      <c r="C14" s="87"/>
    </row>
    <row r="15" spans="1:5" ht="15.75">
      <c r="A15" s="88" t="str">
        <f>IFERROR(IF(AND($B$5&lt;DATE(2030,4,1),OR((VLOOKUP($B$9,Value_look_up_tables!$A$5:$J$33,3,FALSE))&gt;(VLOOKUP($B$9,Value_look_up_tables!$A$5:$J$33,4,FALSE)))),"Post-2030 Stage 1 Nutrient Loading",IF(AND($B$5&lt;DATE(2025,1,1),OR((VLOOKUP($B$9,Value_look_up_tables!$A$5:$E$33,2,FALSE))&gt;(VLOOKUP($B$9,Value_look_up_tables!$A$5:$E$33,3,FALSE)))),"Post-2025 Stage 1 Nutrient Loading","Stage 1 Nutrient Loading")),IF(B10="Please enter value in cell to the right:","Stage 1 Nutrient Loading",""))</f>
        <v/>
      </c>
      <c r="B15" s="111"/>
    </row>
    <row r="16" spans="1:5" ht="15.75">
      <c r="A16" s="7" t="s">
        <v>80</v>
      </c>
      <c r="B16" s="52" t="str">
        <f>IF(ISBLANK(B8),"",B6*B8)</f>
        <v/>
      </c>
    </row>
    <row r="17" spans="1:2" ht="15.75">
      <c r="A17" s="8" t="s">
        <v>81</v>
      </c>
      <c r="B17" s="19" t="str">
        <f>IFERROR(B16*B7,"")</f>
        <v/>
      </c>
    </row>
    <row r="18" spans="1:2" ht="15.75">
      <c r="A18" s="8" t="s">
        <v>82</v>
      </c>
      <c r="B18" s="19" t="str">
        <f>IFERROR(ROUND(IF(ISNUMBER(B12),B12*B17*0.9/1000000*365.25,IF(ISNUMBER(B11),B11*B17*0.9/1000000*365.25,IF(B10="Please enter value in cell to the right:",IF(AND(B10="Please enter value in cell to the right:",ISNUMBER(C10)),B17*(IF(C10&lt;0,0,C10))/1000000*365.25, VLOOKUP((LEFT(B9,(LEN(B9)-13))&amp;" default"),Value_look_up_tables!$A$32:$C$33,3,FALSE)*B17/1000000*365.25),IF(OR(B9="Package Treatment Plant default",B9="Septic Tank default"),B10*B17/1000000*365.25,IF(B10=8,B10*B17/1000000*365.25,B10*B17*0.9/1000000*365.25))))),2),"")</f>
        <v/>
      </c>
    </row>
    <row r="19" spans="1:2" ht="15.75">
      <c r="A19" s="89" t="str">
        <f>IFERROR(IF(AND($B$5&lt;DATE(2030,4,1),OR((VLOOKUP($B$9,Value_look_up_tables!$A$5:$J$33,3,FALSE))&gt;(VLOOKUP($B$9,Value_look_up_tables!$A$5:$J$33,4,FALSE)))),"Pre-2030 Stage 1 Nutrient Loading",IF(AND($B$5&lt;DATE(2025,1,1),OR((VLOOKUP($B$9,Value_look_up_tables!$A$5:$E$33,2,FALSE))&gt;(VLOOKUP($B$9,Value_look_up_tables!$A$5:$E$33,3,FALSE)))),IF(B18=B20,A15,"Pre-2025 Stage 1 Nutrient Loading"),"")),"")</f>
        <v/>
      </c>
      <c r="B19" s="90"/>
    </row>
    <row r="20" spans="1:2" ht="15.75">
      <c r="A20" s="7" t="str">
        <f>IFERROR(IF(AND($B$5&lt;DATE(2030,4,1),OR((VLOOKUP($B$9,Value_look_up_tables!$A$5:$J$33,3,FALSE))&gt;(VLOOKUP($B$9,Value_look_up_tables!$A$5:$J$33,4,FALSE)),,(VLOOKUP($B$9,Value_look_up_tables!$A$5:$J$33,2,FALSE))&gt;(VLOOKUP($B$9,Value_look_up_tables!$A$5:$J$33,4,FALSE)))),"Annual wastewater TP load (kg TP/yr):",""),"")</f>
        <v/>
      </c>
      <c r="B20" s="54" t="str">
        <f>IFERROR(ROUND(IF(AND($B$5&lt;DATE(2030,4,1),OR((VLOOKUP($B$9,Value_look_up_tables!$A$5:$J$33,3,FALSE))&gt;(VLOOKUP($B$9,Value_look_up_tables!$A$5:$J$33,4,FALSE)),(VLOOKUP($B$9,Value_look_up_tables!$A$5:$J$33,2,FALSE))&gt;(VLOOKUP($B$9,Value_look_up_tables!$A$5:$J$33,4,FALSE)))),IF(ISNUMBER(B11),IF(B11=8,(B11*B$17)/1000000*365.25,(B11*B$17*0.9)/1000000*365.25),IF(B10=8,(B10*B$17)/1000000*365.25,(B10*B$17*0.9)/1000000*365.25)),""),2),"")</f>
        <v/>
      </c>
    </row>
    <row r="21" spans="1:2" ht="15.75">
      <c r="A21" s="89" t="str">
        <f>IFERROR(IF(AND($B$5&lt;DATE(2025,1,1),$B$5&lt;DATE(2030,4,1),OR((VLOOKUP($B$9,Value_look_up_tables!$A$5:$J$33,3,FALSE))&gt;(VLOOKUP($B$9,Value_look_up_tables!$A$5:$J$33,4,FALSE)))),IF(AND(B22=""),"","Pre-2025 Stage 1 Nutrient Loading"),IF(AND($B$5&lt;DATE(2025,1,1),OR((VLOOKUP($B$9,Value_look_up_tables!$A$5:$E$33,2,FALSE))&gt;(VLOOKUP($B$9,Value_look_up_tables!$A$5:$E$33,3,FALSE)))),IF(LEFT(A19,9)="Post-2025","Pre-2025 Stage 1 Nutrient Loading","Stage 1 Nutrient Loading"),"")),"")</f>
        <v/>
      </c>
      <c r="B21" s="90"/>
    </row>
    <row r="22" spans="1:2" ht="15.75">
      <c r="A22" s="7" t="str">
        <f>IFERROR(IF(AND($B$5&lt;DATE(2025,1,1),OR((VLOOKUP($B$9,Value_look_up_tables!$A$5:$E$33,2,FALSE))&gt;(VLOOKUP($B$9,Value_look_up_tables!$A$5:$E$33,3,FALSE)),(VLOOKUP($B$9,Value_look_up_tables!$A$5:$E$33,2,FALSE))&gt;(VLOOKUP($B$9,Value_look_up_tables!$A$5:$E$33,3,FALSE)))),"Annual wastewater TP load (kg TP/yr):",""),"")</f>
        <v/>
      </c>
      <c r="B22" s="53" t="str">
        <f>IFERROR(ROUND(IF(AND($B$5&lt;DATE(2025,1,1),$B$5&lt;DATE(2030,4,1),OR((VLOOKUP($B$9,Value_look_up_tables!$A$5:$J$33,3,FALSE))&gt;(VLOOKUP($B$9,Value_look_up_tables!$A$5:$J$33,4,FALSE)),(VLOOKUP($B$9,Value_look_up_tables!$A$5:$J$33,2,FALSE))&gt;(VLOOKUP($B$9,Value_look_up_tables!$A$5:$J$33,3,FALSE)))),IF(ISNUMBER(B11),IF(B10=8,(B10*B$17)/1000000*365.25,(B10*B$17*0.9)/1000000*365.25),IF(B11=8,(B11*B$17)/1000000*365.25,(B11*B$17*0.9)/1000000*365.25)),""),2),"")</f>
        <v/>
      </c>
    </row>
  </sheetData>
  <sheetProtection algorithmName="SHA-512" hashValue="wffFe4Fawr7W1+4a5zMNV28gVsmwcXNES87L60c84HF59e3FqW2/stLI68PdhRqCnNCJc9sI1Rj8q4Wh9UeK9g==" saltValue="gPNtfAHcjByNW60wZeqRF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03" priority="1">
      <formula>$B$10="Please enter value in cell to the right:"</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Value_look_up_tables!$A$5:$A$35</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40625" defaultRowHeight="14.25"/>
  <cols>
    <col min="1" max="1" width="106.140625" style="16" customWidth="1"/>
    <col min="2" max="2" width="40.5703125" style="16" customWidth="1"/>
    <col min="3" max="3" width="25.7109375" style="16" customWidth="1"/>
    <col min="4" max="4" width="76.7109375" style="16" customWidth="1"/>
    <col min="5" max="386" width="8.5703125" style="16" customWidth="1"/>
    <col min="387" max="16384" width="9.140625" style="16"/>
  </cols>
  <sheetData>
    <row r="1" spans="1:6" ht="30">
      <c r="A1" s="13" t="s">
        <v>13</v>
      </c>
      <c r="B1" s="14"/>
      <c r="C1" s="14"/>
      <c r="D1" s="14"/>
    </row>
    <row r="2" spans="1:6" ht="380.25" customHeight="1">
      <c r="A2" s="32" t="s">
        <v>83</v>
      </c>
      <c r="B2" s="14"/>
      <c r="C2" s="14"/>
      <c r="D2" s="14"/>
      <c r="E2" s="21"/>
      <c r="F2" s="2"/>
    </row>
    <row r="3" spans="1:6" ht="69.95" customHeight="1">
      <c r="A3" s="22" t="s">
        <v>84</v>
      </c>
      <c r="B3" s="15"/>
      <c r="C3" s="15"/>
      <c r="E3" s="2"/>
      <c r="F3" s="2"/>
    </row>
    <row r="4" spans="1:6" ht="18">
      <c r="A4" s="67" t="s">
        <v>67</v>
      </c>
      <c r="B4" s="68" t="s">
        <v>85</v>
      </c>
      <c r="C4" s="15"/>
      <c r="E4" s="2"/>
      <c r="F4" s="2"/>
    </row>
    <row r="5" spans="1:6" ht="23.25" customHeight="1">
      <c r="A5" s="9" t="s">
        <v>86</v>
      </c>
      <c r="B5" s="26"/>
      <c r="C5" s="2"/>
      <c r="D5" s="2"/>
      <c r="E5" s="2"/>
      <c r="F5" s="23"/>
    </row>
    <row r="6" spans="1:6" ht="23.25" customHeight="1">
      <c r="A6" s="9" t="s">
        <v>87</v>
      </c>
      <c r="B6" s="27"/>
      <c r="C6" s="2"/>
      <c r="D6" s="2"/>
      <c r="E6" s="2"/>
      <c r="F6" s="2"/>
    </row>
    <row r="7" spans="1:6" ht="23.25" customHeight="1">
      <c r="A7" s="9" t="s">
        <v>88</v>
      </c>
      <c r="B7" s="28"/>
      <c r="C7" s="2"/>
      <c r="D7" s="2"/>
      <c r="E7" s="2"/>
      <c r="F7" s="2"/>
    </row>
    <row r="8" spans="1:6" ht="23.25" customHeight="1">
      <c r="A8" s="6" t="s">
        <v>89</v>
      </c>
      <c r="B8" s="29"/>
      <c r="C8" s="2"/>
      <c r="D8" s="2"/>
      <c r="E8" s="2"/>
      <c r="F8" s="2"/>
    </row>
    <row r="9" spans="1:6" ht="69.95" customHeight="1">
      <c r="A9" s="101" t="s">
        <v>90</v>
      </c>
      <c r="B9" s="100"/>
      <c r="C9" s="2"/>
      <c r="D9" s="2"/>
      <c r="E9" s="2"/>
      <c r="F9" s="2"/>
    </row>
    <row r="10" spans="1:6" ht="54.75" customHeight="1">
      <c r="A10" s="30" t="s">
        <v>91</v>
      </c>
      <c r="B10" s="31" t="s">
        <v>92</v>
      </c>
      <c r="C10" s="31" t="s">
        <v>93</v>
      </c>
      <c r="D10" s="31" t="s">
        <v>94</v>
      </c>
      <c r="E10" s="2"/>
      <c r="F10" s="23"/>
    </row>
    <row r="11" spans="1:6" ht="37.5" customHeight="1">
      <c r="A11" s="4"/>
      <c r="B11" s="18"/>
      <c r="C11" s="91" t="str">
        <f>IF(OR(ISBLANK($A11),ISBLANK($B11),ISBLANK($B$6),ISBLANK($B$7)),"",IFERROR($B11*VLOOKUP((IF(OR($A11="Residential urban land",$A11="Commercial/industrial urban land",$A11="Open urban land",$A11="Greenspace",$A11="Community food growing",$A11="Woodland",$A11="Shrub", $A11="Water"), "|||"&amp;$A11, (VLOOKUP(Nutrients_from_current_land_use!$B$5,Value_look_up_tables!$A$328:$B$328,2,FALSE)&amp;"|"&amp;$A11&amp;"|"&amp;VLOOKUP(Nutrients_from_current_land_use!$B$8,Value_look_up_tables!$A$341:$B$342,2,FALSE)&amp;"|"&amp;VLOOKUP(Nutrients_from_current_land_use!$B$7,Value_look_up_tables!$A$302:$C$324,3,FALSE)&amp;"|"&amp;VLOOKUP($B$6,Value_look_up_tables!$A$332:$B$337,2,FALSE)))),Value_look_up_tables!$F$39:$H$298,3,FALSE),
IFERROR(IFERROR($B11*VLOOKUP($A11&amp;"|"&amp;VLOOKUP(Nutrients_from_current_land_use!$B$8,Value_look_up_tables!$A$341:$B$342,2,FALSE)&amp;"|"&amp;VLOOKUP(Nutrients_from_current_land_use!$B$7,Value_look_up_tables!$A$302:$C$324,3,FALSE)&amp;"|"&amp;VLOOKUP($B$6,Value_look_up_tables!$A$332:$B$337,2,FALSE),Value_look_up_tables!$F$39:$H$298,3,FALSE),IFERROR($B11*VLOOKUP($A11&amp;"|"&amp;"TRUE"&amp;"|"&amp;VLOOKUP(Nutrients_from_current_land_use!$B$7,Value_look_up_tables!$A$302:$C$324,3,FALSE)&amp;"|"&amp;VLOOKUP($B$6,Value_look_up_tables!$A$332:$B$337,2,FALSE),Value_look_up_tables!$F$39:$H$298,3,FALSE),$B11*VLOOKUP($A11&amp;"|"&amp;VLOOKUP(Nutrients_from_current_land_use!$B$8,Value_look_up_tables!$A$341:$B$342,2,FALSE)&amp;"|"&amp;VLOOKUP(Nutrients_from_current_land_use!$B$7,Value_look_up_tables!$A$302:$C$324,3,FALSE)&amp;"|"&amp;"DrainedArGr",Value_look_up_tables!$F$39:$H$298,3,FALSE))),IFERROR($B11*VLOOKUP($A11&amp;"|"&amp;VLOOKUP(Nutrients_from_current_land_use!$B$7,Value_look_up_tables!$A$302:$C$324,3,FALSE),Value_look_up_tables!$I$39:$K$290,3,FALSE),$B11*VLOOKUP($A11,Value_look_up_tables!$B$39:$M$290,12,FALSE)))))</f>
        <v/>
      </c>
      <c r="D11" s="5" t="str">
        <f>IF(
OR(ISBLANK($A11),ISBLANK($B11),ISBLANK($B$6),ISBLANK($B$5),ISBLANK($B$7),$A11="Residential urban land",$A11="Commercial/industrial urban land",$A11="Open urban land",$A11="Greenspace",$A11="Community food growing",$A11="Woodland",$A11="Shrub",$A11="Water"),"",IF(ISNUMBER(IFERROR($B11*VLOOKUP((IF(
OR($A11="Residential urban land",$A11="Commercial/industrial urban land",$A11="Open urban land",$A11="Greenspace",$A11="Community food growing",$A11="Woodland",$A11="Shrub",$A11="Water"),"|||"&amp;$A11,(VLOOKUP(Nutrients_from_current_land_use!$B$5,Value_look_up_tables!$A$328:$B$328,2,FALSE)&amp;"|"&amp;$A11&amp;"|"&amp;VLOOKUP(Nutrients_from_current_land_use!$B$8,Value_look_up_tables!$A$341:$B$342,2,FALSE)&amp;"|"&amp;VLOOKUP(Nutrients_from_current_land_use!$B$7,Value_look_up_tables!$A$302:$C$324,3,FALSE)&amp;"|"&amp;VLOOKUP($B$6,Value_look_up_tables!$A$332:$B$337,2,FALSE)))),Value_look_up_tables!$F$39:$H$298,3,FALSE),
IFERROR($B11*VLOOKUP($A11&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11" s="2"/>
      <c r="F11" s="2"/>
    </row>
    <row r="12" spans="1:6" ht="37.5" customHeight="1">
      <c r="A12" s="4"/>
      <c r="B12" s="18"/>
      <c r="C12" s="91" t="str">
        <f>IF(OR(ISBLANK($A12),ISBLANK($B12),ISBLANK($B$6),ISBLANK($B$7)),"",IFERROR($B12*VLOOKUP((IF(OR($A12="Residential urban land",$A12="Commercial/industrial urban land",$A12="Open urban land",$A12="Greenspace",$A12="Community food growing",$A12="Woodland",$A12="Shrub", $A12="Water"), "|||"&amp;$A12, (VLOOKUP(Nutrients_from_current_land_use!$B$5,Value_look_up_tables!$A$328:$B$328,2,FALSE)&amp;"|"&amp;$A12&amp;"|"&amp;VLOOKUP(Nutrients_from_current_land_use!$B$8,Value_look_up_tables!$A$341:$B$342,2,FALSE)&amp;"|"&amp;VLOOKUP(Nutrients_from_current_land_use!$B$7,Value_look_up_tables!$A$302:$C$324,3,FALSE)&amp;"|"&amp;VLOOKUP($B$6,Value_look_up_tables!$A$332:$B$337,2,FALSE)))),Value_look_up_tables!$F$39:$H$298,3,FALSE),
IFERROR(IFERROR($B12*VLOOKUP($A12&amp;"|"&amp;VLOOKUP(Nutrients_from_current_land_use!$B$8,Value_look_up_tables!$A$341:$B$342,2,FALSE)&amp;"|"&amp;VLOOKUP(Nutrients_from_current_land_use!$B$7,Value_look_up_tables!$A$302:$C$324,3,FALSE)&amp;"|"&amp;VLOOKUP($B$6,Value_look_up_tables!$A$332:$B$337,2,FALSE),Value_look_up_tables!$F$39:$H$298,3,FALSE),IFERROR($B12*VLOOKUP($A12&amp;"|"&amp;"TRUE"&amp;"|"&amp;VLOOKUP(Nutrients_from_current_land_use!$B$7,Value_look_up_tables!$A$302:$C$324,3,FALSE)&amp;"|"&amp;VLOOKUP($B$6,Value_look_up_tables!$A$332:$B$337,2,FALSE),Value_look_up_tables!$F$39:$H$298,3,FALSE),$B12*VLOOKUP($A12&amp;"|"&amp;VLOOKUP(Nutrients_from_current_land_use!$B$8,Value_look_up_tables!$A$341:$B$342,2,FALSE)&amp;"|"&amp;VLOOKUP(Nutrients_from_current_land_use!$B$7,Value_look_up_tables!$A$302:$C$324,3,FALSE)&amp;"|"&amp;"DrainedArGr",Value_look_up_tables!$F$39:$H$298,3,FALSE))),IFERROR($B12*VLOOKUP($A12&amp;"|"&amp;VLOOKUP(Nutrients_from_current_land_use!$B$7,Value_look_up_tables!$A$302:$C$324,3,FALSE),Value_look_up_tables!$I$39:$K$290,3,FALSE),$B12*VLOOKUP($A12,Value_look_up_tables!$B$39:$M$290,12,FALSE)))))</f>
        <v/>
      </c>
      <c r="D12" s="5" t="str">
        <f>IF(
OR(ISBLANK($A12),ISBLANK($B12),ISBLANK($B$6),ISBLANK($B$5),ISBLANK($B$7),$A12="Residential urban land",$A12="Commercial/industrial urban land",$A12="Open urban land",$A12="Greenspace",$A12="Community food growing",$A12="Woodland",$A12="Shrub",$A12="Water"),"",IF(ISNUMBER(IFERROR($B12*VLOOKUP((IF(
OR($A12="Residential urban land",$A12="Commercial/industrial urban land",$A12="Open urban land",$A12="Greenspace",$A12="Community food growing",$A12="Woodland",$A12="Shrub",$A12="Water"),"|||"&amp;$A12,(VLOOKUP(Nutrients_from_current_land_use!$B$5,Value_look_up_tables!$A$328:$B$328,2,FALSE)&amp;"|"&amp;$A12&amp;"|"&amp;VLOOKUP(Nutrients_from_current_land_use!$B$8,Value_look_up_tables!$A$341:$B$342,2,FALSE)&amp;"|"&amp;VLOOKUP(Nutrients_from_current_land_use!$B$7,Value_look_up_tables!$A$302:$C$324,3,FALSE)&amp;"|"&amp;VLOOKUP($B$6,Value_look_up_tables!$A$332:$B$337,2,FALSE)))),Value_look_up_tables!$F$39:$H$298,3,FALSE),
IFERROR($B12*VLOOKUP($A12&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12" s="2"/>
      <c r="F12" s="2"/>
    </row>
    <row r="13" spans="1:6" ht="37.5" customHeight="1">
      <c r="A13" s="4"/>
      <c r="B13" s="18"/>
      <c r="C13" s="91" t="str">
        <f>IF(OR(ISBLANK($A13),ISBLANK($B13),ISBLANK($B$6),ISBLANK($B$7)),"",IFERROR($B13*VLOOKUP((IF(OR($A13="Residential urban land",$A13="Commercial/industrial urban land",$A13="Open urban land",$A13="Greenspace",$A13="Community food growing",$A13="Woodland",$A13="Shrub", $A13="Water"), "|||"&amp;$A13, (VLOOKUP(Nutrients_from_current_land_use!$B$5,Value_look_up_tables!$A$328:$B$328,2,FALSE)&amp;"|"&amp;$A13&amp;"|"&amp;VLOOKUP(Nutrients_from_current_land_use!$B$8,Value_look_up_tables!$A$341:$B$342,2,FALSE)&amp;"|"&amp;VLOOKUP(Nutrients_from_current_land_use!$B$7,Value_look_up_tables!$A$302:$C$324,3,FALSE)&amp;"|"&amp;VLOOKUP($B$6,Value_look_up_tables!$A$332:$B$337,2,FALSE)))),Value_look_up_tables!$F$39:$H$298,3,FALSE),
IFERROR(IFERROR($B13*VLOOKUP($A13&amp;"|"&amp;VLOOKUP(Nutrients_from_current_land_use!$B$8,Value_look_up_tables!$A$341:$B$342,2,FALSE)&amp;"|"&amp;VLOOKUP(Nutrients_from_current_land_use!$B$7,Value_look_up_tables!$A$302:$C$324,3,FALSE)&amp;"|"&amp;VLOOKUP($B$6,Value_look_up_tables!$A$332:$B$337,2,FALSE),Value_look_up_tables!$F$39:$H$298,3,FALSE),IFERROR($B13*VLOOKUP($A13&amp;"|"&amp;"TRUE"&amp;"|"&amp;VLOOKUP(Nutrients_from_current_land_use!$B$7,Value_look_up_tables!$A$302:$C$324,3,FALSE)&amp;"|"&amp;VLOOKUP($B$6,Value_look_up_tables!$A$332:$B$337,2,FALSE),Value_look_up_tables!$F$39:$H$298,3,FALSE),$B13*VLOOKUP($A13&amp;"|"&amp;VLOOKUP(Nutrients_from_current_land_use!$B$8,Value_look_up_tables!$A$341:$B$342,2,FALSE)&amp;"|"&amp;VLOOKUP(Nutrients_from_current_land_use!$B$7,Value_look_up_tables!$A$302:$C$324,3,FALSE)&amp;"|"&amp;"DrainedArGr",Value_look_up_tables!$F$39:$H$298,3,FALSE))),IFERROR($B13*VLOOKUP($A13&amp;"|"&amp;VLOOKUP(Nutrients_from_current_land_use!$B$7,Value_look_up_tables!$A$302:$C$324,3,FALSE),Value_look_up_tables!$I$39:$K$290,3,FALSE),$B13*VLOOKUP($A13,Value_look_up_tables!$B$39:$M$290,12,FALSE)))))</f>
        <v/>
      </c>
      <c r="D13" s="5" t="str">
        <f>IF(
OR(ISBLANK($A13),ISBLANK($B13),ISBLANK($B$6),ISBLANK($B$5),ISBLANK($B$7),$A13="Residential urban land",$A13="Commercial/industrial urban land",$A13="Open urban land",$A13="Greenspace",$A13="Community food growing",$A13="Woodland",$A13="Shrub",$A13="Water"),"",IF(ISNUMBER(IFERROR($B13*VLOOKUP((IF(
OR($A13="Residential urban land",$A13="Commercial/industrial urban land",$A13="Open urban land",$A13="Greenspace",$A13="Community food growing",$A13="Woodland",$A13="Shrub",$A13="Water"),"|||"&amp;$A13,(VLOOKUP(Nutrients_from_current_land_use!$B$5,Value_look_up_tables!$A$328:$B$328,2,FALSE)&amp;"|"&amp;$A13&amp;"|"&amp;VLOOKUP(Nutrients_from_current_land_use!$B$8,Value_look_up_tables!$A$341:$B$342,2,FALSE)&amp;"|"&amp;VLOOKUP(Nutrients_from_current_land_use!$B$7,Value_look_up_tables!$A$302:$C$324,3,FALSE)&amp;"|"&amp;VLOOKUP($B$6,Value_look_up_tables!$A$332:$B$337,2,FALSE)))),Value_look_up_tables!$F$39:$H$298,3,FALSE),
IFERROR($B13*VLOOKUP($A13&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13" s="2"/>
      <c r="F13" s="2"/>
    </row>
    <row r="14" spans="1:6" ht="37.5" customHeight="1">
      <c r="A14" s="4"/>
      <c r="B14" s="18"/>
      <c r="C14" s="91" t="str">
        <f>IF(OR(ISBLANK($A14),ISBLANK($B14),ISBLANK($B$6),ISBLANK($B$7)),"",IFERROR($B14*VLOOKUP((IF(OR($A14="Residential urban land",$A14="Commercial/industrial urban land",$A14="Open urban land",$A14="Greenspace",$A14="Community food growing",$A14="Woodland",$A14="Shrub", $A14="Water"), "|||"&amp;$A14, (VLOOKUP(Nutrients_from_current_land_use!$B$5,Value_look_up_tables!$A$328:$B$328,2,FALSE)&amp;"|"&amp;$A14&amp;"|"&amp;VLOOKUP(Nutrients_from_current_land_use!$B$8,Value_look_up_tables!$A$341:$B$342,2,FALSE)&amp;"|"&amp;VLOOKUP(Nutrients_from_current_land_use!$B$7,Value_look_up_tables!$A$302:$C$324,3,FALSE)&amp;"|"&amp;VLOOKUP($B$6,Value_look_up_tables!$A$332:$B$337,2,FALSE)))),Value_look_up_tables!$F$39:$H$298,3,FALSE),
IFERROR(IFERROR($B14*VLOOKUP($A14&amp;"|"&amp;VLOOKUP(Nutrients_from_current_land_use!$B$8,Value_look_up_tables!$A$341:$B$342,2,FALSE)&amp;"|"&amp;VLOOKUP(Nutrients_from_current_land_use!$B$7,Value_look_up_tables!$A$302:$C$324,3,FALSE)&amp;"|"&amp;VLOOKUP($B$6,Value_look_up_tables!$A$332:$B$337,2,FALSE),Value_look_up_tables!$F$39:$H$298,3,FALSE),IFERROR($B14*VLOOKUP($A14&amp;"|"&amp;"TRUE"&amp;"|"&amp;VLOOKUP(Nutrients_from_current_land_use!$B$7,Value_look_up_tables!$A$302:$C$324,3,FALSE)&amp;"|"&amp;VLOOKUP($B$6,Value_look_up_tables!$A$332:$B$337,2,FALSE),Value_look_up_tables!$F$39:$H$298,3,FALSE),$B14*VLOOKUP($A14&amp;"|"&amp;VLOOKUP(Nutrients_from_current_land_use!$B$8,Value_look_up_tables!$A$341:$B$342,2,FALSE)&amp;"|"&amp;VLOOKUP(Nutrients_from_current_land_use!$B$7,Value_look_up_tables!$A$302:$C$324,3,FALSE)&amp;"|"&amp;"DrainedArGr",Value_look_up_tables!$F$39:$H$298,3,FALSE))),IFERROR($B14*VLOOKUP($A14&amp;"|"&amp;VLOOKUP(Nutrients_from_current_land_use!$B$7,Value_look_up_tables!$A$302:$C$324,3,FALSE),Value_look_up_tables!$I$39:$K$290,3,FALSE),$B14*VLOOKUP($A14,Value_look_up_tables!$B$39:$M$290,12,FALSE)))))</f>
        <v/>
      </c>
      <c r="D14" s="5" t="str">
        <f>IF(
OR(ISBLANK($A14),ISBLANK($B14),ISBLANK($B$6),ISBLANK($B$5),ISBLANK($B$7),$A14="Residential urban land",$A14="Commercial/industrial urban land",$A14="Open urban land",$A14="Greenspace",$A14="Community food growing",$A14="Woodland",$A14="Shrub",$A14="Water"),"",IF(ISNUMBER(IFERROR($B14*VLOOKUP((IF(
OR($A14="Residential urban land",$A14="Commercial/industrial urban land",$A14="Open urban land",$A14="Greenspace",$A14="Community food growing",$A14="Woodland",$A14="Shrub",$A14="Water"),"|||"&amp;$A14,(VLOOKUP(Nutrients_from_current_land_use!$B$5,Value_look_up_tables!$A$328:$B$328,2,FALSE)&amp;"|"&amp;$A14&amp;"|"&amp;VLOOKUP(Nutrients_from_current_land_use!$B$8,Value_look_up_tables!$A$341:$B$342,2,FALSE)&amp;"|"&amp;VLOOKUP(Nutrients_from_current_land_use!$B$7,Value_look_up_tables!$A$302:$C$324,3,FALSE)&amp;"|"&amp;VLOOKUP($B$6,Value_look_up_tables!$A$332:$B$337,2,FALSE)))),Value_look_up_tables!$F$39:$H$298,3,FALSE),
IFERROR($B14*VLOOKUP($A14&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14" s="2"/>
      <c r="F14" s="2"/>
    </row>
    <row r="15" spans="1:6" ht="37.5" customHeight="1">
      <c r="A15" s="4"/>
      <c r="B15" s="18"/>
      <c r="C15" s="91" t="str">
        <f>IF(OR(ISBLANK($A15),ISBLANK($B15),ISBLANK($B$6),ISBLANK($B$7)),"",IFERROR($B15*VLOOKUP((IF(OR($A15="Residential urban land",$A15="Commercial/industrial urban land",$A15="Open urban land",$A15="Greenspace",$A15="Community food growing",$A15="Woodland",$A15="Shrub", $A15="Water"), "|||"&amp;$A15, (VLOOKUP(Nutrients_from_current_land_use!$B$5,Value_look_up_tables!$A$328:$B$328,2,FALSE)&amp;"|"&amp;$A15&amp;"|"&amp;VLOOKUP(Nutrients_from_current_land_use!$B$8,Value_look_up_tables!$A$341:$B$342,2,FALSE)&amp;"|"&amp;VLOOKUP(Nutrients_from_current_land_use!$B$7,Value_look_up_tables!$A$302:$C$324,3,FALSE)&amp;"|"&amp;VLOOKUP($B$6,Value_look_up_tables!$A$332:$B$337,2,FALSE)))),Value_look_up_tables!$F$39:$H$298,3,FALSE),
IFERROR(IFERROR($B15*VLOOKUP($A15&amp;"|"&amp;VLOOKUP(Nutrients_from_current_land_use!$B$8,Value_look_up_tables!$A$341:$B$342,2,FALSE)&amp;"|"&amp;VLOOKUP(Nutrients_from_current_land_use!$B$7,Value_look_up_tables!$A$302:$C$324,3,FALSE)&amp;"|"&amp;VLOOKUP($B$6,Value_look_up_tables!$A$332:$B$337,2,FALSE),Value_look_up_tables!$F$39:$H$298,3,FALSE),IFERROR($B15*VLOOKUP($A15&amp;"|"&amp;"TRUE"&amp;"|"&amp;VLOOKUP(Nutrients_from_current_land_use!$B$7,Value_look_up_tables!$A$302:$C$324,3,FALSE)&amp;"|"&amp;VLOOKUP($B$6,Value_look_up_tables!$A$332:$B$337,2,FALSE),Value_look_up_tables!$F$39:$H$298,3,FALSE),$B15*VLOOKUP($A15&amp;"|"&amp;VLOOKUP(Nutrients_from_current_land_use!$B$8,Value_look_up_tables!$A$341:$B$342,2,FALSE)&amp;"|"&amp;VLOOKUP(Nutrients_from_current_land_use!$B$7,Value_look_up_tables!$A$302:$C$324,3,FALSE)&amp;"|"&amp;"DrainedArGr",Value_look_up_tables!$F$39:$H$298,3,FALSE))),IFERROR($B15*VLOOKUP($A15&amp;"|"&amp;VLOOKUP(Nutrients_from_current_land_use!$B$7,Value_look_up_tables!$A$302:$C$324,3,FALSE),Value_look_up_tables!$I$39:$K$290,3,FALSE),$B15*VLOOKUP($A15,Value_look_up_tables!$B$39:$M$290,12,FALSE)))))</f>
        <v/>
      </c>
      <c r="D15" s="5" t="str">
        <f>IF(
OR(ISBLANK($A15),ISBLANK($B15),ISBLANK($B$6),ISBLANK($B$5),ISBLANK($B$7),$A15="Residential urban land",$A15="Commercial/industrial urban land",$A15="Open urban land",$A15="Greenspace",$A15="Community food growing",$A15="Woodland",$A15="Shrub",$A15="Water"),"",IF(ISNUMBER(IFERROR($B15*VLOOKUP((IF(
OR($A15="Residential urban land",$A15="Commercial/industrial urban land",$A15="Open urban land",$A15="Greenspace",$A15="Community food growing",$A15="Woodland",$A15="Shrub",$A15="Water"),"|||"&amp;$A15,(VLOOKUP(Nutrients_from_current_land_use!$B$5,Value_look_up_tables!$A$328:$B$328,2,FALSE)&amp;"|"&amp;$A15&amp;"|"&amp;VLOOKUP(Nutrients_from_current_land_use!$B$8,Value_look_up_tables!$A$341:$B$342,2,FALSE)&amp;"|"&amp;VLOOKUP(Nutrients_from_current_land_use!$B$7,Value_look_up_tables!$A$302:$C$324,3,FALSE)&amp;"|"&amp;VLOOKUP($B$6,Value_look_up_tables!$A$332:$B$337,2,FALSE)))),Value_look_up_tables!$F$39:$H$298,3,FALSE),
IFERROR($B15*VLOOKUP($A15&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15" s="2"/>
      <c r="F15" s="2"/>
    </row>
    <row r="16" spans="1:6" ht="37.5" customHeight="1">
      <c r="A16" s="4"/>
      <c r="B16" s="18"/>
      <c r="C16" s="91" t="str">
        <f>IF(OR(ISBLANK($A16),ISBLANK($B16),ISBLANK($B$6),ISBLANK($B$7)),"",IFERROR($B16*VLOOKUP((IF(OR($A16="Residential urban land",$A16="Commercial/industrial urban land",$A16="Open urban land",$A16="Greenspace",$A16="Community food growing",$A16="Woodland",$A16="Shrub", $A16="Water"), "|||"&amp;$A16, (VLOOKUP(Nutrients_from_current_land_use!$B$5,Value_look_up_tables!$A$328:$B$328,2,FALSE)&amp;"|"&amp;$A16&amp;"|"&amp;VLOOKUP(Nutrients_from_current_land_use!$B$8,Value_look_up_tables!$A$341:$B$342,2,FALSE)&amp;"|"&amp;VLOOKUP(Nutrients_from_current_land_use!$B$7,Value_look_up_tables!$A$302:$C$324,3,FALSE)&amp;"|"&amp;VLOOKUP($B$6,Value_look_up_tables!$A$332:$B$337,2,FALSE)))),Value_look_up_tables!$F$39:$H$298,3,FALSE),
IFERROR(IFERROR($B16*VLOOKUP($A16&amp;"|"&amp;VLOOKUP(Nutrients_from_current_land_use!$B$8,Value_look_up_tables!$A$341:$B$342,2,FALSE)&amp;"|"&amp;VLOOKUP(Nutrients_from_current_land_use!$B$7,Value_look_up_tables!$A$302:$C$324,3,FALSE)&amp;"|"&amp;VLOOKUP($B$6,Value_look_up_tables!$A$332:$B$337,2,FALSE),Value_look_up_tables!$F$39:$H$298,3,FALSE),IFERROR($B16*VLOOKUP($A16&amp;"|"&amp;"TRUE"&amp;"|"&amp;VLOOKUP(Nutrients_from_current_land_use!$B$7,Value_look_up_tables!$A$302:$C$324,3,FALSE)&amp;"|"&amp;VLOOKUP($B$6,Value_look_up_tables!$A$332:$B$337,2,FALSE),Value_look_up_tables!$F$39:$H$298,3,FALSE),$B16*VLOOKUP($A16&amp;"|"&amp;VLOOKUP(Nutrients_from_current_land_use!$B$8,Value_look_up_tables!$A$341:$B$342,2,FALSE)&amp;"|"&amp;VLOOKUP(Nutrients_from_current_land_use!$B$7,Value_look_up_tables!$A$302:$C$324,3,FALSE)&amp;"|"&amp;"DrainedArGr",Value_look_up_tables!$F$39:$H$298,3,FALSE))),IFERROR($B16*VLOOKUP($A16&amp;"|"&amp;VLOOKUP(Nutrients_from_current_land_use!$B$7,Value_look_up_tables!$A$302:$C$324,3,FALSE),Value_look_up_tables!$I$39:$K$290,3,FALSE),$B16*VLOOKUP($A16,Value_look_up_tables!$B$39:$M$290,12,FALSE)))))</f>
        <v/>
      </c>
      <c r="D16" s="5" t="str">
        <f>IF(
OR(ISBLANK($A16),ISBLANK($B16),ISBLANK($B$6),ISBLANK($B$5),ISBLANK($B$7),$A16="Residential urban land",$A16="Commercial/industrial urban land",$A16="Open urban land",$A16="Greenspace",$A16="Community food growing",$A16="Woodland",$A16="Shrub",$A16="Water"),"",IF(ISNUMBER(IFERROR($B16*VLOOKUP((IF(
OR($A16="Residential urban land",$A16="Commercial/industrial urban land",$A16="Open urban land",$A16="Greenspace",$A16="Community food growing",$A16="Woodland",$A16="Shrub",$A16="Water"),"|||"&amp;$A16,(VLOOKUP(Nutrients_from_current_land_use!$B$5,Value_look_up_tables!$A$328:$B$328,2,FALSE)&amp;"|"&amp;$A16&amp;"|"&amp;VLOOKUP(Nutrients_from_current_land_use!$B$8,Value_look_up_tables!$A$341:$B$342,2,FALSE)&amp;"|"&amp;VLOOKUP(Nutrients_from_current_land_use!$B$7,Value_look_up_tables!$A$302:$C$324,3,FALSE)&amp;"|"&amp;VLOOKUP($B$6,Value_look_up_tables!$A$332:$B$337,2,FALSE)))),Value_look_up_tables!$F$39:$H$298,3,FALSE),
IFERROR($B16*VLOOKUP($A16&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16" s="2"/>
      <c r="F16" s="2"/>
    </row>
    <row r="17" spans="1:6" ht="37.5" customHeight="1">
      <c r="A17" s="4"/>
      <c r="B17" s="18"/>
      <c r="C17" s="91" t="str">
        <f>IF(OR(ISBLANK($A17),ISBLANK($B17),ISBLANK($B$6),ISBLANK($B$7)),"",IFERROR($B17*VLOOKUP((IF(OR($A17="Residential urban land",$A17="Commercial/industrial urban land",$A17="Open urban land",$A17="Greenspace",$A17="Community food growing",$A17="Woodland",$A17="Shrub", $A17="Water"), "|||"&amp;$A17, (VLOOKUP(Nutrients_from_current_land_use!$B$5,Value_look_up_tables!$A$328:$B$328,2,FALSE)&amp;"|"&amp;$A17&amp;"|"&amp;VLOOKUP(Nutrients_from_current_land_use!$B$8,Value_look_up_tables!$A$341:$B$342,2,FALSE)&amp;"|"&amp;VLOOKUP(Nutrients_from_current_land_use!$B$7,Value_look_up_tables!$A$302:$C$324,3,FALSE)&amp;"|"&amp;VLOOKUP($B$6,Value_look_up_tables!$A$332:$B$337,2,FALSE)))),Value_look_up_tables!$F$39:$H$298,3,FALSE),
IFERROR(IFERROR($B17*VLOOKUP($A17&amp;"|"&amp;VLOOKUP(Nutrients_from_current_land_use!$B$8,Value_look_up_tables!$A$341:$B$342,2,FALSE)&amp;"|"&amp;VLOOKUP(Nutrients_from_current_land_use!$B$7,Value_look_up_tables!$A$302:$C$324,3,FALSE)&amp;"|"&amp;VLOOKUP($B$6,Value_look_up_tables!$A$332:$B$337,2,FALSE),Value_look_up_tables!$F$39:$H$298,3,FALSE),IFERROR($B17*VLOOKUP($A17&amp;"|"&amp;"TRUE"&amp;"|"&amp;VLOOKUP(Nutrients_from_current_land_use!$B$7,Value_look_up_tables!$A$302:$C$324,3,FALSE)&amp;"|"&amp;VLOOKUP($B$6,Value_look_up_tables!$A$332:$B$337,2,FALSE),Value_look_up_tables!$F$39:$H$298,3,FALSE),$B17*VLOOKUP($A17&amp;"|"&amp;VLOOKUP(Nutrients_from_current_land_use!$B$8,Value_look_up_tables!$A$341:$B$342,2,FALSE)&amp;"|"&amp;VLOOKUP(Nutrients_from_current_land_use!$B$7,Value_look_up_tables!$A$302:$C$324,3,FALSE)&amp;"|"&amp;"DrainedArGr",Value_look_up_tables!$F$39:$H$298,3,FALSE))),IFERROR($B17*VLOOKUP($A17&amp;"|"&amp;VLOOKUP(Nutrients_from_current_land_use!$B$7,Value_look_up_tables!$A$302:$C$324,3,FALSE),Value_look_up_tables!$I$39:$K$290,3,FALSE),$B17*VLOOKUP($A17,Value_look_up_tables!$B$39:$M$290,12,FALSE)))))</f>
        <v/>
      </c>
      <c r="D17" s="5" t="str">
        <f>IF(
OR(ISBLANK($A17),ISBLANK($B17),ISBLANK($B$6),ISBLANK($B$5),ISBLANK($B$7),$A17="Residential urban land",$A17="Commercial/industrial urban land",$A17="Open urban land",$A17="Greenspace",$A17="Community food growing",$A17="Woodland",$A17="Shrub",$A17="Water"),"",IF(ISNUMBER(IFERROR($B17*VLOOKUP((IF(
OR($A17="Residential urban land",$A17="Commercial/industrial urban land",$A17="Open urban land",$A17="Greenspace",$A17="Community food growing",$A17="Woodland",$A17="Shrub",$A17="Water"),"|||"&amp;$A17,(VLOOKUP(Nutrients_from_current_land_use!$B$5,Value_look_up_tables!$A$328:$B$328,2,FALSE)&amp;"|"&amp;$A17&amp;"|"&amp;VLOOKUP(Nutrients_from_current_land_use!$B$8,Value_look_up_tables!$A$341:$B$342,2,FALSE)&amp;"|"&amp;VLOOKUP(Nutrients_from_current_land_use!$B$7,Value_look_up_tables!$A$302:$C$324,3,FALSE)&amp;"|"&amp;VLOOKUP($B$6,Value_look_up_tables!$A$332:$B$337,2,FALSE)))),Value_look_up_tables!$F$39:$H$298,3,FALSE),
IFERROR($B17*VLOOKUP($A17&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17" s="2"/>
      <c r="F17" s="2"/>
    </row>
    <row r="18" spans="1:6" ht="37.5" customHeight="1">
      <c r="A18" s="4"/>
      <c r="B18" s="18"/>
      <c r="C18" s="91" t="str">
        <f>IF(OR(ISBLANK($A18),ISBLANK($B18),ISBLANK($B$6),ISBLANK($B$7)),"",IFERROR($B18*VLOOKUP((IF(OR($A18="Residential urban land",$A18="Commercial/industrial urban land",$A18="Open urban land",$A18="Greenspace",$A18="Community food growing",$A18="Woodland",$A18="Shrub", $A18="Water"), "|||"&amp;$A18, (VLOOKUP(Nutrients_from_current_land_use!$B$5,Value_look_up_tables!$A$328:$B$328,2,FALSE)&amp;"|"&amp;$A18&amp;"|"&amp;VLOOKUP(Nutrients_from_current_land_use!$B$8,Value_look_up_tables!$A$341:$B$342,2,FALSE)&amp;"|"&amp;VLOOKUP(Nutrients_from_current_land_use!$B$7,Value_look_up_tables!$A$302:$C$324,3,FALSE)&amp;"|"&amp;VLOOKUP($B$6,Value_look_up_tables!$A$332:$B$337,2,FALSE)))),Value_look_up_tables!$F$39:$H$298,3,FALSE),
IFERROR(IFERROR($B18*VLOOKUP($A18&amp;"|"&amp;VLOOKUP(Nutrients_from_current_land_use!$B$8,Value_look_up_tables!$A$341:$B$342,2,FALSE)&amp;"|"&amp;VLOOKUP(Nutrients_from_current_land_use!$B$7,Value_look_up_tables!$A$302:$C$324,3,FALSE)&amp;"|"&amp;VLOOKUP($B$6,Value_look_up_tables!$A$332:$B$337,2,FALSE),Value_look_up_tables!$F$39:$H$298,3,FALSE),IFERROR($B18*VLOOKUP($A18&amp;"|"&amp;"TRUE"&amp;"|"&amp;VLOOKUP(Nutrients_from_current_land_use!$B$7,Value_look_up_tables!$A$302:$C$324,3,FALSE)&amp;"|"&amp;VLOOKUP($B$6,Value_look_up_tables!$A$332:$B$337,2,FALSE),Value_look_up_tables!$F$39:$H$298,3,FALSE),$B18*VLOOKUP($A18&amp;"|"&amp;VLOOKUP(Nutrients_from_current_land_use!$B$8,Value_look_up_tables!$A$341:$B$342,2,FALSE)&amp;"|"&amp;VLOOKUP(Nutrients_from_current_land_use!$B$7,Value_look_up_tables!$A$302:$C$324,3,FALSE)&amp;"|"&amp;"DrainedArGr",Value_look_up_tables!$F$39:$H$298,3,FALSE))),IFERROR($B18*VLOOKUP($A18&amp;"|"&amp;VLOOKUP(Nutrients_from_current_land_use!$B$7,Value_look_up_tables!$A$302:$C$324,3,FALSE),Value_look_up_tables!$I$39:$K$290,3,FALSE),$B18*VLOOKUP($A18,Value_look_up_tables!$B$39:$M$290,12,FALSE)))))</f>
        <v/>
      </c>
      <c r="D18" s="5" t="str">
        <f>IF(
OR(ISBLANK($A18),ISBLANK($B18),ISBLANK($B$6),ISBLANK($B$5),ISBLANK($B$7),$A18="Residential urban land",$A18="Commercial/industrial urban land",$A18="Open urban land",$A18="Greenspace",$A18="Community food growing",$A18="Woodland",$A18="Shrub",$A18="Water"),"",IF(ISNUMBER(IFERROR($B18*VLOOKUP((IF(
OR($A18="Residential urban land",$A18="Commercial/industrial urban land",$A18="Open urban land",$A18="Greenspace",$A18="Community food growing",$A18="Woodland",$A18="Shrub",$A18="Water"),"|||"&amp;$A18,(VLOOKUP(Nutrients_from_current_land_use!$B$5,Value_look_up_tables!$A$328:$B$328,2,FALSE)&amp;"|"&amp;$A18&amp;"|"&amp;VLOOKUP(Nutrients_from_current_land_use!$B$8,Value_look_up_tables!$A$341:$B$342,2,FALSE)&amp;"|"&amp;VLOOKUP(Nutrients_from_current_land_use!$B$7,Value_look_up_tables!$A$302:$C$324,3,FALSE)&amp;"|"&amp;VLOOKUP($B$6,Value_look_up_tables!$A$332:$B$337,2,FALSE)))),Value_look_up_tables!$F$39:$H$298,3,FALSE),
IFERROR($B18*VLOOKUP($A18&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18" s="2"/>
      <c r="F18" s="2"/>
    </row>
    <row r="19" spans="1:6" ht="37.5" customHeight="1">
      <c r="A19" s="4"/>
      <c r="B19" s="18"/>
      <c r="C19" s="91" t="str">
        <f>IF(OR(ISBLANK($A19),ISBLANK($B19),ISBLANK($B$6),ISBLANK($B$7)),"",IFERROR($B19*VLOOKUP((IF(OR($A19="Residential urban land",$A19="Commercial/industrial urban land",$A19="Open urban land",$A19="Greenspace",$A19="Community food growing",$A19="Woodland",$A19="Shrub", $A19="Water"), "|||"&amp;$A19, (VLOOKUP(Nutrients_from_current_land_use!$B$5,Value_look_up_tables!$A$328:$B$328,2,FALSE)&amp;"|"&amp;$A19&amp;"|"&amp;VLOOKUP(Nutrients_from_current_land_use!$B$8,Value_look_up_tables!$A$341:$B$342,2,FALSE)&amp;"|"&amp;VLOOKUP(Nutrients_from_current_land_use!$B$7,Value_look_up_tables!$A$302:$C$324,3,FALSE)&amp;"|"&amp;VLOOKUP($B$6,Value_look_up_tables!$A$332:$B$337,2,FALSE)))),Value_look_up_tables!$F$39:$H$298,3,FALSE),
IFERROR(IFERROR($B19*VLOOKUP($A19&amp;"|"&amp;VLOOKUP(Nutrients_from_current_land_use!$B$8,Value_look_up_tables!$A$341:$B$342,2,FALSE)&amp;"|"&amp;VLOOKUP(Nutrients_from_current_land_use!$B$7,Value_look_up_tables!$A$302:$C$324,3,FALSE)&amp;"|"&amp;VLOOKUP($B$6,Value_look_up_tables!$A$332:$B$337,2,FALSE),Value_look_up_tables!$F$39:$H$298,3,FALSE),IFERROR($B19*VLOOKUP($A19&amp;"|"&amp;"TRUE"&amp;"|"&amp;VLOOKUP(Nutrients_from_current_land_use!$B$7,Value_look_up_tables!$A$302:$C$324,3,FALSE)&amp;"|"&amp;VLOOKUP($B$6,Value_look_up_tables!$A$332:$B$337,2,FALSE),Value_look_up_tables!$F$39:$H$298,3,FALSE),$B19*VLOOKUP($A19&amp;"|"&amp;VLOOKUP(Nutrients_from_current_land_use!$B$8,Value_look_up_tables!$A$341:$B$342,2,FALSE)&amp;"|"&amp;VLOOKUP(Nutrients_from_current_land_use!$B$7,Value_look_up_tables!$A$302:$C$324,3,FALSE)&amp;"|"&amp;"DrainedArGr",Value_look_up_tables!$F$39:$H$298,3,FALSE))),IFERROR($B19*VLOOKUP($A19&amp;"|"&amp;VLOOKUP(Nutrients_from_current_land_use!$B$7,Value_look_up_tables!$A$302:$C$324,3,FALSE),Value_look_up_tables!$I$39:$K$290,3,FALSE),$B19*VLOOKUP($A19,Value_look_up_tables!$B$39:$M$290,12,FALSE)))))</f>
        <v/>
      </c>
      <c r="D19" s="5" t="str">
        <f>IF(
OR(ISBLANK($A19),ISBLANK($B19),ISBLANK($B$6),ISBLANK($B$5),ISBLANK($B$7),$A19="Residential urban land",$A19="Commercial/industrial urban land",$A19="Open urban land",$A19="Greenspace",$A19="Community food growing",$A19="Woodland",$A19="Shrub",$A19="Water"),"",IF(ISNUMBER(IFERROR($B19*VLOOKUP((IF(
OR($A19="Residential urban land",$A19="Commercial/industrial urban land",$A19="Open urban land",$A19="Greenspace",$A19="Community food growing",$A19="Woodland",$A19="Shrub",$A19="Water"),"|||"&amp;$A19,(VLOOKUP(Nutrients_from_current_land_use!$B$5,Value_look_up_tables!$A$328:$B$328,2,FALSE)&amp;"|"&amp;$A19&amp;"|"&amp;VLOOKUP(Nutrients_from_current_land_use!$B$8,Value_look_up_tables!$A$341:$B$342,2,FALSE)&amp;"|"&amp;VLOOKUP(Nutrients_from_current_land_use!$B$7,Value_look_up_tables!$A$302:$C$324,3,FALSE)&amp;"|"&amp;VLOOKUP($B$6,Value_look_up_tables!$A$332:$B$337,2,FALSE)))),Value_look_up_tables!$F$39:$H$298,3,FALSE),
IFERROR($B19*VLOOKUP($A19&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19" s="2"/>
      <c r="F19" s="2"/>
    </row>
    <row r="20" spans="1:6" ht="37.5" customHeight="1">
      <c r="A20" s="4"/>
      <c r="B20" s="18"/>
      <c r="C20" s="91" t="str">
        <f>IF(OR(ISBLANK($A20),ISBLANK($B20),ISBLANK($B$6),ISBLANK($B$7)),"",IFERROR($B20*VLOOKUP((IF(OR($A20="Residential urban land",$A20="Commercial/industrial urban land",$A20="Open urban land",$A20="Greenspace",$A20="Community food growing",$A20="Woodland",$A20="Shrub", $A20="Water"), "|||"&amp;$A20, (VLOOKUP(Nutrients_from_current_land_use!$B$5,Value_look_up_tables!$A$328:$B$328,2,FALSE)&amp;"|"&amp;$A20&amp;"|"&amp;VLOOKUP(Nutrients_from_current_land_use!$B$8,Value_look_up_tables!$A$341:$B$342,2,FALSE)&amp;"|"&amp;VLOOKUP(Nutrients_from_current_land_use!$B$7,Value_look_up_tables!$A$302:$C$324,3,FALSE)&amp;"|"&amp;VLOOKUP($B$6,Value_look_up_tables!$A$332:$B$337,2,FALSE)))),Value_look_up_tables!$F$39:$H$298,3,FALSE),
IFERROR(IFERROR($B20*VLOOKUP($A20&amp;"|"&amp;VLOOKUP(Nutrients_from_current_land_use!$B$8,Value_look_up_tables!$A$341:$B$342,2,FALSE)&amp;"|"&amp;VLOOKUP(Nutrients_from_current_land_use!$B$7,Value_look_up_tables!$A$302:$C$324,3,FALSE)&amp;"|"&amp;VLOOKUP($B$6,Value_look_up_tables!$A$332:$B$337,2,FALSE),Value_look_up_tables!$F$39:$H$298,3,FALSE),IFERROR($B20*VLOOKUP($A20&amp;"|"&amp;"TRUE"&amp;"|"&amp;VLOOKUP(Nutrients_from_current_land_use!$B$7,Value_look_up_tables!$A$302:$C$324,3,FALSE)&amp;"|"&amp;VLOOKUP($B$6,Value_look_up_tables!$A$332:$B$337,2,FALSE),Value_look_up_tables!$F$39:$H$298,3,FALSE),$B20*VLOOKUP($A20&amp;"|"&amp;VLOOKUP(Nutrients_from_current_land_use!$B$8,Value_look_up_tables!$A$341:$B$342,2,FALSE)&amp;"|"&amp;VLOOKUP(Nutrients_from_current_land_use!$B$7,Value_look_up_tables!$A$302:$C$324,3,FALSE)&amp;"|"&amp;"DrainedArGr",Value_look_up_tables!$F$39:$H$298,3,FALSE))),IFERROR($B20*VLOOKUP($A20&amp;"|"&amp;VLOOKUP(Nutrients_from_current_land_use!$B$7,Value_look_up_tables!$A$302:$C$324,3,FALSE),Value_look_up_tables!$I$39:$K$290,3,FALSE),$B20*VLOOKUP($A20,Value_look_up_tables!$B$39:$M$290,12,FALSE)))))</f>
        <v/>
      </c>
      <c r="D20" s="5" t="str">
        <f>IF(
OR(ISBLANK($A20),ISBLANK($B20),ISBLANK($B$6),ISBLANK($B$5),ISBLANK($B$7),$A20="Residential urban land",$A20="Commercial/industrial urban land",$A20="Open urban land",$A20="Greenspace",$A20="Community food growing",$A20="Woodland",$A20="Shrub",$A20="Water"),"",IF(ISNUMBER(IFERROR($B20*VLOOKUP((IF(
OR($A20="Residential urban land",$A20="Commercial/industrial urban land",$A20="Open urban land",$A20="Greenspace",$A20="Community food growing",$A20="Woodland",$A20="Shrub",$A20="Water"),"|||"&amp;$A20,(VLOOKUP(Nutrients_from_current_land_use!$B$5,Value_look_up_tables!$A$328:$B$328,2,FALSE)&amp;"|"&amp;$A20&amp;"|"&amp;VLOOKUP(Nutrients_from_current_land_use!$B$8,Value_look_up_tables!$A$341:$B$342,2,FALSE)&amp;"|"&amp;VLOOKUP(Nutrients_from_current_land_use!$B$7,Value_look_up_tables!$A$302:$C$324,3,FALSE)&amp;"|"&amp;VLOOKUP($B$6,Value_look_up_tables!$A$332:$B$337,2,FALSE)))),Value_look_up_tables!$F$39:$H$298,3,FALSE),
IFERROR($B20*VLOOKUP($A20&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20" s="2"/>
      <c r="F20" s="2"/>
    </row>
    <row r="21" spans="1:6" ht="37.5" customHeight="1">
      <c r="A21" s="4"/>
      <c r="B21" s="18"/>
      <c r="C21" s="91" t="str">
        <f>IF(OR(ISBLANK($A21),ISBLANK($B21),ISBLANK($B$6),ISBLANK($B$7)),"",IFERROR($B21*VLOOKUP((IF(OR($A21="Residential urban land",$A21="Commercial/industrial urban land",$A21="Open urban land",$A21="Greenspace",$A21="Community food growing",$A21="Woodland",$A21="Shrub", $A21="Water"), "|||"&amp;$A21, (VLOOKUP(Nutrients_from_current_land_use!$B$5,Value_look_up_tables!$A$328:$B$328,2,FALSE)&amp;"|"&amp;$A21&amp;"|"&amp;VLOOKUP(Nutrients_from_current_land_use!$B$8,Value_look_up_tables!$A$341:$B$342,2,FALSE)&amp;"|"&amp;VLOOKUP(Nutrients_from_current_land_use!$B$7,Value_look_up_tables!$A$302:$C$324,3,FALSE)&amp;"|"&amp;VLOOKUP($B$6,Value_look_up_tables!$A$332:$B$337,2,FALSE)))),Value_look_up_tables!$F$39:$H$298,3,FALSE),
IFERROR(IFERROR($B21*VLOOKUP($A21&amp;"|"&amp;VLOOKUP(Nutrients_from_current_land_use!$B$8,Value_look_up_tables!$A$341:$B$342,2,FALSE)&amp;"|"&amp;VLOOKUP(Nutrients_from_current_land_use!$B$7,Value_look_up_tables!$A$302:$C$324,3,FALSE)&amp;"|"&amp;VLOOKUP($B$6,Value_look_up_tables!$A$332:$B$337,2,FALSE),Value_look_up_tables!$F$39:$H$298,3,FALSE),IFERROR($B21*VLOOKUP($A21&amp;"|"&amp;"TRUE"&amp;"|"&amp;VLOOKUP(Nutrients_from_current_land_use!$B$7,Value_look_up_tables!$A$302:$C$324,3,FALSE)&amp;"|"&amp;VLOOKUP($B$6,Value_look_up_tables!$A$332:$B$337,2,FALSE),Value_look_up_tables!$F$39:$H$298,3,FALSE),$B21*VLOOKUP($A21&amp;"|"&amp;VLOOKUP(Nutrients_from_current_land_use!$B$8,Value_look_up_tables!$A$341:$B$342,2,FALSE)&amp;"|"&amp;VLOOKUP(Nutrients_from_current_land_use!$B$7,Value_look_up_tables!$A$302:$C$324,3,FALSE)&amp;"|"&amp;"DrainedArGr",Value_look_up_tables!$F$39:$H$298,3,FALSE))),IFERROR($B21*VLOOKUP($A21&amp;"|"&amp;VLOOKUP(Nutrients_from_current_land_use!$B$7,Value_look_up_tables!$A$302:$C$324,3,FALSE),Value_look_up_tables!$I$39:$K$290,3,FALSE),$B21*VLOOKUP($A21,Value_look_up_tables!$B$39:$M$290,12,FALSE)))))</f>
        <v/>
      </c>
      <c r="D21" s="5" t="str">
        <f>IF(
OR(ISBLANK($A21),ISBLANK($B21),ISBLANK($B$6),ISBLANK($B$5),ISBLANK($B$7),$A21="Residential urban land",$A21="Commercial/industrial urban land",$A21="Open urban land",$A21="Greenspace",$A21="Community food growing",$A21="Woodland",$A21="Shrub",$A21="Water"),"",IF(ISNUMBER(IFERROR($B21*VLOOKUP((IF(
OR($A21="Residential urban land",$A21="Commercial/industrial urban land",$A21="Open urban land",$A21="Greenspace",$A21="Community food growing",$A21="Woodland",$A21="Shrub",$A21="Water"),"|||"&amp;$A21,(VLOOKUP(Nutrients_from_current_land_use!$B$5,Value_look_up_tables!$A$328:$B$328,2,FALSE)&amp;"|"&amp;$A21&amp;"|"&amp;VLOOKUP(Nutrients_from_current_land_use!$B$8,Value_look_up_tables!$A$341:$B$342,2,FALSE)&amp;"|"&amp;VLOOKUP(Nutrients_from_current_land_use!$B$7,Value_look_up_tables!$A$302:$C$324,3,FALSE)&amp;"|"&amp;VLOOKUP($B$6,Value_look_up_tables!$A$332:$B$337,2,FALSE)))),Value_look_up_tables!$F$39:$H$298,3,FALSE),
IFERROR($B21*VLOOKUP($A21&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21" s="2"/>
      <c r="F21" s="2"/>
    </row>
    <row r="22" spans="1:6" ht="37.5" customHeight="1">
      <c r="A22" s="4"/>
      <c r="B22" s="18"/>
      <c r="C22" s="91" t="str">
        <f>IF(OR(ISBLANK($A22),ISBLANK($B22),ISBLANK($B$6),ISBLANK($B$7)),"",IFERROR($B22*VLOOKUP((IF(OR($A22="Residential urban land",$A22="Commercial/industrial urban land",$A22="Open urban land",$A22="Greenspace",$A22="Community food growing",$A22="Woodland",$A22="Shrub", $A22="Water"), "|||"&amp;$A22, (VLOOKUP(Nutrients_from_current_land_use!$B$5,Value_look_up_tables!$A$328:$B$328,2,FALSE)&amp;"|"&amp;$A22&amp;"|"&amp;VLOOKUP(Nutrients_from_current_land_use!$B$8,Value_look_up_tables!$A$341:$B$342,2,FALSE)&amp;"|"&amp;VLOOKUP(Nutrients_from_current_land_use!$B$7,Value_look_up_tables!$A$302:$C$324,3,FALSE)&amp;"|"&amp;VLOOKUP($B$6,Value_look_up_tables!$A$332:$B$337,2,FALSE)))),Value_look_up_tables!$F$39:$H$298,3,FALSE),
IFERROR(IFERROR($B22*VLOOKUP($A22&amp;"|"&amp;VLOOKUP(Nutrients_from_current_land_use!$B$8,Value_look_up_tables!$A$341:$B$342,2,FALSE)&amp;"|"&amp;VLOOKUP(Nutrients_from_current_land_use!$B$7,Value_look_up_tables!$A$302:$C$324,3,FALSE)&amp;"|"&amp;VLOOKUP($B$6,Value_look_up_tables!$A$332:$B$337,2,FALSE),Value_look_up_tables!$F$39:$H$298,3,FALSE),IFERROR($B22*VLOOKUP($A22&amp;"|"&amp;"TRUE"&amp;"|"&amp;VLOOKUP(Nutrients_from_current_land_use!$B$7,Value_look_up_tables!$A$302:$C$324,3,FALSE)&amp;"|"&amp;VLOOKUP($B$6,Value_look_up_tables!$A$332:$B$337,2,FALSE),Value_look_up_tables!$F$39:$H$298,3,FALSE),$B22*VLOOKUP($A22&amp;"|"&amp;VLOOKUP(Nutrients_from_current_land_use!$B$8,Value_look_up_tables!$A$341:$B$342,2,FALSE)&amp;"|"&amp;VLOOKUP(Nutrients_from_current_land_use!$B$7,Value_look_up_tables!$A$302:$C$324,3,FALSE)&amp;"|"&amp;"DrainedArGr",Value_look_up_tables!$F$39:$H$298,3,FALSE))),IFERROR($B22*VLOOKUP($A22&amp;"|"&amp;VLOOKUP(Nutrients_from_current_land_use!$B$7,Value_look_up_tables!$A$302:$C$324,3,FALSE),Value_look_up_tables!$I$39:$K$290,3,FALSE),$B22*VLOOKUP($A22,Value_look_up_tables!$B$39:$M$290,12,FALSE)))))</f>
        <v/>
      </c>
      <c r="D22" s="5" t="str">
        <f>IF(
OR(ISBLANK($A22),ISBLANK($B22),ISBLANK($B$6),ISBLANK($B$5),ISBLANK($B$7),$A22="Residential urban land",$A22="Commercial/industrial urban land",$A22="Open urban land",$A22="Greenspace",$A22="Community food growing",$A22="Woodland",$A22="Shrub",$A22="Water"),"",IF(ISNUMBER(IFERROR($B22*VLOOKUP((IF(
OR($A22="Residential urban land",$A22="Commercial/industrial urban land",$A22="Open urban land",$A22="Greenspace",$A22="Community food growing",$A22="Woodland",$A22="Shrub",$A22="Water"),"|||"&amp;$A22,(VLOOKUP(Nutrients_from_current_land_use!$B$5,Value_look_up_tables!$A$328:$B$328,2,FALSE)&amp;"|"&amp;$A22&amp;"|"&amp;VLOOKUP(Nutrients_from_current_land_use!$B$8,Value_look_up_tables!$A$341:$B$342,2,FALSE)&amp;"|"&amp;VLOOKUP(Nutrients_from_current_land_use!$B$7,Value_look_up_tables!$A$302:$C$324,3,FALSE)&amp;"|"&amp;VLOOKUP($B$6,Value_look_up_tables!$A$332:$B$337,2,FALSE)))),Value_look_up_tables!$F$39:$H$298,3,FALSE),
IFERROR($B22*VLOOKUP($A22&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22" s="2"/>
      <c r="F22" s="23"/>
    </row>
    <row r="23" spans="1:6" ht="37.5" customHeight="1">
      <c r="A23" s="4"/>
      <c r="B23" s="18"/>
      <c r="C23" s="91" t="str">
        <f>IF(OR(ISBLANK($A23),ISBLANK($B23),ISBLANK($B$6),ISBLANK($B$7)),"",IFERROR($B23*VLOOKUP((IF(OR($A23="Residential urban land",$A23="Commercial/industrial urban land",$A23="Open urban land",$A23="Greenspace",$A23="Community food growing",$A23="Woodland",$A23="Shrub", $A23="Water"), "|||"&amp;$A23, (VLOOKUP(Nutrients_from_current_land_use!$B$5,Value_look_up_tables!$A$328:$B$328,2,FALSE)&amp;"|"&amp;$A23&amp;"|"&amp;VLOOKUP(Nutrients_from_current_land_use!$B$8,Value_look_up_tables!$A$341:$B$342,2,FALSE)&amp;"|"&amp;VLOOKUP(Nutrients_from_current_land_use!$B$7,Value_look_up_tables!$A$302:$C$324,3,FALSE)&amp;"|"&amp;VLOOKUP($B$6,Value_look_up_tables!$A$332:$B$337,2,FALSE)))),Value_look_up_tables!$F$39:$H$298,3,FALSE),
IFERROR(IFERROR($B23*VLOOKUP($A23&amp;"|"&amp;VLOOKUP(Nutrients_from_current_land_use!$B$8,Value_look_up_tables!$A$341:$B$342,2,FALSE)&amp;"|"&amp;VLOOKUP(Nutrients_from_current_land_use!$B$7,Value_look_up_tables!$A$302:$C$324,3,FALSE)&amp;"|"&amp;VLOOKUP($B$6,Value_look_up_tables!$A$332:$B$337,2,FALSE),Value_look_up_tables!$F$39:$H$298,3,FALSE),IFERROR($B23*VLOOKUP($A23&amp;"|"&amp;"TRUE"&amp;"|"&amp;VLOOKUP(Nutrients_from_current_land_use!$B$7,Value_look_up_tables!$A$302:$C$324,3,FALSE)&amp;"|"&amp;VLOOKUP($B$6,Value_look_up_tables!$A$332:$B$337,2,FALSE),Value_look_up_tables!$F$39:$H$298,3,FALSE),$B23*VLOOKUP($A23&amp;"|"&amp;VLOOKUP(Nutrients_from_current_land_use!$B$8,Value_look_up_tables!$A$341:$B$342,2,FALSE)&amp;"|"&amp;VLOOKUP(Nutrients_from_current_land_use!$B$7,Value_look_up_tables!$A$302:$C$324,3,FALSE)&amp;"|"&amp;"DrainedArGr",Value_look_up_tables!$F$39:$H$298,3,FALSE))),IFERROR($B23*VLOOKUP($A23&amp;"|"&amp;VLOOKUP(Nutrients_from_current_land_use!$B$7,Value_look_up_tables!$A$302:$C$324,3,FALSE),Value_look_up_tables!$I$39:$K$290,3,FALSE),$B23*VLOOKUP($A23,Value_look_up_tables!$B$39:$M$290,12,FALSE)))))</f>
        <v/>
      </c>
      <c r="D23" s="5" t="str">
        <f>IF(
OR(ISBLANK($A23),ISBLANK($B23),ISBLANK($B$6),ISBLANK($B$5),ISBLANK($B$7),$A23="Residential urban land",$A23="Commercial/industrial urban land",$A23="Open urban land",$A23="Greenspace",$A23="Community food growing",$A23="Woodland",$A23="Shrub",$A23="Water"),"",IF(ISNUMBER(IFERROR($B23*VLOOKUP((IF(
OR($A23="Residential urban land",$A23="Commercial/industrial urban land",$A23="Open urban land",$A23="Greenspace",$A23="Community food growing",$A23="Woodland",$A23="Shrub",$A23="Water"),"|||"&amp;$A23,(VLOOKUP(Nutrients_from_current_land_use!$B$5,Value_look_up_tables!$A$328:$B$328,2,FALSE)&amp;"|"&amp;$A23&amp;"|"&amp;VLOOKUP(Nutrients_from_current_land_use!$B$8,Value_look_up_tables!$A$341:$B$342,2,FALSE)&amp;"|"&amp;VLOOKUP(Nutrients_from_current_land_use!$B$7,Value_look_up_tables!$A$302:$C$324,3,FALSE)&amp;"|"&amp;VLOOKUP($B$6,Value_look_up_tables!$A$332:$B$337,2,FALSE)))),Value_look_up_tables!$F$39:$H$298,3,FALSE),
IFERROR($B23*VLOOKUP($A23&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23" s="2"/>
      <c r="F23" s="2"/>
    </row>
    <row r="24" spans="1:6" ht="37.5" customHeight="1">
      <c r="A24" s="4"/>
      <c r="B24" s="18"/>
      <c r="C24" s="91" t="str">
        <f>IF(OR(ISBLANK($A24),ISBLANK($B24),ISBLANK($B$6),ISBLANK($B$7)),"",IFERROR($B24*VLOOKUP((IF(OR($A24="Residential urban land",$A24="Commercial/industrial urban land",$A24="Open urban land",$A24="Greenspace",$A24="Community food growing",$A24="Woodland",$A24="Shrub", $A24="Water"), "|||"&amp;$A24, (VLOOKUP(Nutrients_from_current_land_use!$B$5,Value_look_up_tables!$A$328:$B$328,2,FALSE)&amp;"|"&amp;$A24&amp;"|"&amp;VLOOKUP(Nutrients_from_current_land_use!$B$8,Value_look_up_tables!$A$341:$B$342,2,FALSE)&amp;"|"&amp;VLOOKUP(Nutrients_from_current_land_use!$B$7,Value_look_up_tables!$A$302:$C$324,3,FALSE)&amp;"|"&amp;VLOOKUP($B$6,Value_look_up_tables!$A$332:$B$337,2,FALSE)))),Value_look_up_tables!$F$39:$H$298,3,FALSE),
IFERROR(IFERROR($B24*VLOOKUP($A24&amp;"|"&amp;VLOOKUP(Nutrients_from_current_land_use!$B$8,Value_look_up_tables!$A$341:$B$342,2,FALSE)&amp;"|"&amp;VLOOKUP(Nutrients_from_current_land_use!$B$7,Value_look_up_tables!$A$302:$C$324,3,FALSE)&amp;"|"&amp;VLOOKUP($B$6,Value_look_up_tables!$A$332:$B$337,2,FALSE),Value_look_up_tables!$F$39:$H$298,3,FALSE),IFERROR($B24*VLOOKUP($A24&amp;"|"&amp;"TRUE"&amp;"|"&amp;VLOOKUP(Nutrients_from_current_land_use!$B$7,Value_look_up_tables!$A$302:$C$324,3,FALSE)&amp;"|"&amp;VLOOKUP($B$6,Value_look_up_tables!$A$332:$B$337,2,FALSE),Value_look_up_tables!$F$39:$H$298,3,FALSE),$B24*VLOOKUP($A24&amp;"|"&amp;VLOOKUP(Nutrients_from_current_land_use!$B$8,Value_look_up_tables!$A$341:$B$342,2,FALSE)&amp;"|"&amp;VLOOKUP(Nutrients_from_current_land_use!$B$7,Value_look_up_tables!$A$302:$C$324,3,FALSE)&amp;"|"&amp;"DrainedArGr",Value_look_up_tables!$F$39:$H$298,3,FALSE))),IFERROR($B24*VLOOKUP($A24&amp;"|"&amp;VLOOKUP(Nutrients_from_current_land_use!$B$7,Value_look_up_tables!$A$302:$C$324,3,FALSE),Value_look_up_tables!$I$39:$K$290,3,FALSE),$B24*VLOOKUP($A24,Value_look_up_tables!$B$39:$M$290,12,FALSE)))))</f>
        <v/>
      </c>
      <c r="D24" s="5" t="str">
        <f>IF(
OR(ISBLANK($A24),ISBLANK($B24),ISBLANK($B$6),ISBLANK($B$5),ISBLANK($B$7),$A24="Residential urban land",$A24="Commercial/industrial urban land",$A24="Open urban land",$A24="Greenspace",$A24="Community food growing",$A24="Woodland",$A24="Shrub",$A24="Water"),"",IF(ISNUMBER(IFERROR($B24*VLOOKUP((IF(
OR($A24="Residential urban land",$A24="Commercial/industrial urban land",$A24="Open urban land",$A24="Greenspace",$A24="Community food growing",$A24="Woodland",$A24="Shrub",$A24="Water"),"|||"&amp;$A24,(VLOOKUP(Nutrients_from_current_land_use!$B$5,Value_look_up_tables!$A$328:$B$328,2,FALSE)&amp;"|"&amp;$A24&amp;"|"&amp;VLOOKUP(Nutrients_from_current_land_use!$B$8,Value_look_up_tables!$A$341:$B$342,2,FALSE)&amp;"|"&amp;VLOOKUP(Nutrients_from_current_land_use!$B$7,Value_look_up_tables!$A$302:$C$324,3,FALSE)&amp;"|"&amp;VLOOKUP($B$6,Value_look_up_tables!$A$332:$B$337,2,FALSE)))),Value_look_up_tables!$F$39:$H$298,3,FALSE),
IFERROR($B24*VLOOKUP($A24&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24" s="2"/>
      <c r="F24" s="2"/>
    </row>
    <row r="25" spans="1:6" ht="37.5" customHeight="1">
      <c r="A25" s="4"/>
      <c r="B25" s="18"/>
      <c r="C25" s="91" t="str">
        <f>IF(OR(ISBLANK($A25),ISBLANK($B25),ISBLANK($B$6),ISBLANK($B$7)),"",IFERROR($B25*VLOOKUP((IF(OR($A25="Residential urban land",$A25="Commercial/industrial urban land",$A25="Open urban land",$A25="Greenspace",$A25="Community food growing",$A25="Woodland",$A25="Shrub", $A25="Water"), "|||"&amp;$A25, (VLOOKUP(Nutrients_from_current_land_use!$B$5,Value_look_up_tables!$A$328:$B$328,2,FALSE)&amp;"|"&amp;$A25&amp;"|"&amp;VLOOKUP(Nutrients_from_current_land_use!$B$8,Value_look_up_tables!$A$341:$B$342,2,FALSE)&amp;"|"&amp;VLOOKUP(Nutrients_from_current_land_use!$B$7,Value_look_up_tables!$A$302:$C$324,3,FALSE)&amp;"|"&amp;VLOOKUP($B$6,Value_look_up_tables!$A$332:$B$337,2,FALSE)))),Value_look_up_tables!$F$39:$H$298,3,FALSE),
IFERROR(IFERROR($B25*VLOOKUP($A25&amp;"|"&amp;VLOOKUP(Nutrients_from_current_land_use!$B$8,Value_look_up_tables!$A$341:$B$342,2,FALSE)&amp;"|"&amp;VLOOKUP(Nutrients_from_current_land_use!$B$7,Value_look_up_tables!$A$302:$C$324,3,FALSE)&amp;"|"&amp;VLOOKUP($B$6,Value_look_up_tables!$A$332:$B$337,2,FALSE),Value_look_up_tables!$F$39:$H$298,3,FALSE),IFERROR($B25*VLOOKUP($A25&amp;"|"&amp;"TRUE"&amp;"|"&amp;VLOOKUP(Nutrients_from_current_land_use!$B$7,Value_look_up_tables!$A$302:$C$324,3,FALSE)&amp;"|"&amp;VLOOKUP($B$6,Value_look_up_tables!$A$332:$B$337,2,FALSE),Value_look_up_tables!$F$39:$H$298,3,FALSE),$B25*VLOOKUP($A25&amp;"|"&amp;VLOOKUP(Nutrients_from_current_land_use!$B$8,Value_look_up_tables!$A$341:$B$342,2,FALSE)&amp;"|"&amp;VLOOKUP(Nutrients_from_current_land_use!$B$7,Value_look_up_tables!$A$302:$C$324,3,FALSE)&amp;"|"&amp;"DrainedArGr",Value_look_up_tables!$F$39:$H$298,3,FALSE))),IFERROR($B25*VLOOKUP($A25&amp;"|"&amp;VLOOKUP(Nutrients_from_current_land_use!$B$7,Value_look_up_tables!$A$302:$C$324,3,FALSE),Value_look_up_tables!$I$39:$K$290,3,FALSE),$B25*VLOOKUP($A25,Value_look_up_tables!$B$39:$M$290,12,FALSE)))))</f>
        <v/>
      </c>
      <c r="D25" s="5" t="str">
        <f>IF(
OR(ISBLANK($A25),ISBLANK($B25),ISBLANK($B$6),ISBLANK($B$5),ISBLANK($B$7),$A25="Residential urban land",$A25="Commercial/industrial urban land",$A25="Open urban land",$A25="Greenspace",$A25="Community food growing",$A25="Woodland",$A25="Shrub",$A25="Water"),"",IF(ISNUMBER(IFERROR($B25*VLOOKUP((IF(
OR($A25="Residential urban land",$A25="Commercial/industrial urban land",$A25="Open urban land",$A25="Greenspace",$A25="Community food growing",$A25="Woodland",$A25="Shrub",$A25="Water"),"|||"&amp;$A25,(VLOOKUP(Nutrients_from_current_land_use!$B$5,Value_look_up_tables!$A$328:$B$328,2,FALSE)&amp;"|"&amp;$A25&amp;"|"&amp;VLOOKUP(Nutrients_from_current_land_use!$B$8,Value_look_up_tables!$A$341:$B$342,2,FALSE)&amp;"|"&amp;VLOOKUP(Nutrients_from_current_land_use!$B$7,Value_look_up_tables!$A$302:$C$324,3,FALSE)&amp;"|"&amp;VLOOKUP($B$6,Value_look_up_tables!$A$332:$B$337,2,FALSE)))),Value_look_up_tables!$F$39:$H$298,3,FALSE),
IFERROR($B25*VLOOKUP($A25&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c r="E25" s="2"/>
      <c r="F25" s="2"/>
    </row>
    <row r="26" spans="1:6" ht="37.5" customHeight="1">
      <c r="A26" s="4"/>
      <c r="B26" s="18"/>
      <c r="C26" s="91" t="str">
        <f>IF(OR(ISBLANK($A26),ISBLANK($B26),ISBLANK($B$6),ISBLANK($B$7)),"",IFERROR($B26*VLOOKUP((IF(OR($A26="Residential urban land",$A26="Commercial/industrial urban land",$A26="Open urban land",$A26="Greenspace",$A26="Community food growing",$A26="Woodland",$A26="Shrub", $A26="Water"), "|||"&amp;$A26, (VLOOKUP(Nutrients_from_current_land_use!$B$5,Value_look_up_tables!$A$328:$B$328,2,FALSE)&amp;"|"&amp;$A26&amp;"|"&amp;VLOOKUP(Nutrients_from_current_land_use!$B$8,Value_look_up_tables!$A$341:$B$342,2,FALSE)&amp;"|"&amp;VLOOKUP(Nutrients_from_current_land_use!$B$7,Value_look_up_tables!$A$302:$C$324,3,FALSE)&amp;"|"&amp;VLOOKUP($B$6,Value_look_up_tables!$A$332:$B$337,2,FALSE)))),Value_look_up_tables!$F$39:$H$298,3,FALSE),
IFERROR(IFERROR($B26*VLOOKUP($A26&amp;"|"&amp;VLOOKUP(Nutrients_from_current_land_use!$B$8,Value_look_up_tables!$A$341:$B$342,2,FALSE)&amp;"|"&amp;VLOOKUP(Nutrients_from_current_land_use!$B$7,Value_look_up_tables!$A$302:$C$324,3,FALSE)&amp;"|"&amp;VLOOKUP($B$6,Value_look_up_tables!$A$332:$B$337,2,FALSE),Value_look_up_tables!$F$39:$H$298,3,FALSE),IFERROR($B26*VLOOKUP($A26&amp;"|"&amp;"TRUE"&amp;"|"&amp;VLOOKUP(Nutrients_from_current_land_use!$B$7,Value_look_up_tables!$A$302:$C$324,3,FALSE)&amp;"|"&amp;VLOOKUP($B$6,Value_look_up_tables!$A$332:$B$337,2,FALSE),Value_look_up_tables!$F$39:$H$298,3,FALSE),$B26*VLOOKUP($A26&amp;"|"&amp;VLOOKUP(Nutrients_from_current_land_use!$B$8,Value_look_up_tables!$A$341:$B$342,2,FALSE)&amp;"|"&amp;VLOOKUP(Nutrients_from_current_land_use!$B$7,Value_look_up_tables!$A$302:$C$324,3,FALSE)&amp;"|"&amp;"DrainedArGr",Value_look_up_tables!$F$39:$H$298,3,FALSE))),IFERROR($B26*VLOOKUP($A26&amp;"|"&amp;VLOOKUP(Nutrients_from_current_land_use!$B$7,Value_look_up_tables!$A$302:$C$324,3,FALSE),Value_look_up_tables!$I$39:$K$290,3,FALSE),$B26*VLOOKUP($A26,Value_look_up_tables!$B$39:$M$290,12,FALSE)))))</f>
        <v/>
      </c>
      <c r="D26" s="5" t="str">
        <f>IF(
OR(ISBLANK($A26),ISBLANK($B26),ISBLANK($B$6),ISBLANK($B$5),ISBLANK($B$7),$A26="Residential urban land",$A26="Commercial/industrial urban land",$A26="Open urban land",$A26="Greenspace",$A26="Community food growing",$A26="Woodland",$A26="Shrub",$A26="Water"),"",IF(ISNUMBER(IFERROR($B26*VLOOKUP((IF(
OR($A26="Residential urban land",$A26="Commercial/industrial urban land",$A26="Open urban land",$A26="Greenspace",$A26="Community food growing",$A26="Woodland",$A26="Shrub",$A26="Water"),"|||"&amp;$A26,(VLOOKUP(Nutrients_from_current_land_use!$B$5,Value_look_up_tables!$A$328:$B$328,2,FALSE)&amp;"|"&amp;$A26&amp;"|"&amp;VLOOKUP(Nutrients_from_current_land_use!$B$8,Value_look_up_tables!$A$341:$B$342,2,FALSE)&amp;"|"&amp;VLOOKUP(Nutrients_from_current_land_use!$B$7,Value_look_up_tables!$A$302:$C$324,3,FALSE)&amp;"|"&amp;VLOOKUP($B$6,Value_look_up_tables!$A$332:$B$337,2,FALSE)))),Value_look_up_tables!$F$39:$H$298,3,FALSE),
IFERROR($B26*VLOOKUP($A26&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row>
    <row r="27" spans="1:6" ht="37.5" customHeight="1">
      <c r="A27" s="4"/>
      <c r="B27" s="18"/>
      <c r="C27" s="91" t="str">
        <f>IF(OR(ISBLANK($A27),ISBLANK($B27),ISBLANK($B$6),ISBLANK($B$7)),"",IFERROR($B27*VLOOKUP((IF(OR($A27="Residential urban land",$A27="Commercial/industrial urban land",$A27="Open urban land",$A27="Greenspace",$A27="Community food growing",$A27="Woodland",$A27="Shrub", $A27="Water"), "|||"&amp;$A27, (VLOOKUP(Nutrients_from_current_land_use!$B$5,Value_look_up_tables!$A$328:$B$328,2,FALSE)&amp;"|"&amp;$A27&amp;"|"&amp;VLOOKUP(Nutrients_from_current_land_use!$B$8,Value_look_up_tables!$A$341:$B$342,2,FALSE)&amp;"|"&amp;VLOOKUP(Nutrients_from_current_land_use!$B$7,Value_look_up_tables!$A$302:$C$324,3,FALSE)&amp;"|"&amp;VLOOKUP($B$6,Value_look_up_tables!$A$332:$B$337,2,FALSE)))),Value_look_up_tables!$F$39:$H$298,3,FALSE),
IFERROR(IFERROR($B27*VLOOKUP($A27&amp;"|"&amp;VLOOKUP(Nutrients_from_current_land_use!$B$8,Value_look_up_tables!$A$341:$B$342,2,FALSE)&amp;"|"&amp;VLOOKUP(Nutrients_from_current_land_use!$B$7,Value_look_up_tables!$A$302:$C$324,3,FALSE)&amp;"|"&amp;VLOOKUP($B$6,Value_look_up_tables!$A$332:$B$337,2,FALSE),Value_look_up_tables!$F$39:$H$298,3,FALSE),IFERROR($B27*VLOOKUP($A27&amp;"|"&amp;"TRUE"&amp;"|"&amp;VLOOKUP(Nutrients_from_current_land_use!$B$7,Value_look_up_tables!$A$302:$C$324,3,FALSE)&amp;"|"&amp;VLOOKUP($B$6,Value_look_up_tables!$A$332:$B$337,2,FALSE),Value_look_up_tables!$F$39:$H$298,3,FALSE),$B27*VLOOKUP($A27&amp;"|"&amp;VLOOKUP(Nutrients_from_current_land_use!$B$8,Value_look_up_tables!$A$341:$B$342,2,FALSE)&amp;"|"&amp;VLOOKUP(Nutrients_from_current_land_use!$B$7,Value_look_up_tables!$A$302:$C$324,3,FALSE)&amp;"|"&amp;"DrainedArGr",Value_look_up_tables!$F$39:$H$298,3,FALSE))),IFERROR($B27*VLOOKUP($A27&amp;"|"&amp;VLOOKUP(Nutrients_from_current_land_use!$B$7,Value_look_up_tables!$A$302:$C$324,3,FALSE),Value_look_up_tables!$I$39:$K$290,3,FALSE),$B27*VLOOKUP($A27,Value_look_up_tables!$B$39:$M$290,12,FALSE)))))</f>
        <v/>
      </c>
      <c r="D27" s="5" t="str">
        <f>IF(
OR(ISBLANK($A27),ISBLANK($B27),ISBLANK($B$6),ISBLANK($B$5),ISBLANK($B$7),$A27="Residential urban land",$A27="Commercial/industrial urban land",$A27="Open urban land",$A27="Greenspace",$A27="Community food growing",$A27="Woodland",$A27="Shrub",$A27="Water"),"",IF(ISNUMBER(IFERROR($B27*VLOOKUP((IF(
OR($A27="Residential urban land",$A27="Commercial/industrial urban land",$A27="Open urban land",$A27="Greenspace",$A27="Community food growing",$A27="Woodland",$A27="Shrub",$A27="Water"),"|||"&amp;$A27,(VLOOKUP(Nutrients_from_current_land_use!$B$5,Value_look_up_tables!$A$328:$B$328,2,FALSE)&amp;"|"&amp;$A27&amp;"|"&amp;VLOOKUP(Nutrients_from_current_land_use!$B$8,Value_look_up_tables!$A$341:$B$342,2,FALSE)&amp;"|"&amp;VLOOKUP(Nutrients_from_current_land_use!$B$7,Value_look_up_tables!$A$302:$C$324,3,FALSE)&amp;"|"&amp;VLOOKUP($B$6,Value_look_up_tables!$A$332:$B$337,2,FALSE)))),Value_look_up_tables!$F$39:$H$298,3,FALSE),
IFERROR($B27*VLOOKUP($A27&amp;"|"&amp;VLOOKUP(Nutrients_from_current_land_use!$B$8,Value_look_up_tables!$A$341:$B$342,2,FALSE)&amp;"|"&amp;VLOOKUP(Nutrients_from_current_land_use!$B$7,Value_look_up_tables!$A$302:$C$324,3,FALSE)&amp;"|"&amp;VLOOKUP($B$6,Value_look_up_tables!$A$332:$B$337,2,FALSE),Value_look_up_tables!$F$39:$H$298,3,FALSE),"In the absence of real world data, this figure has been generated using the most relevant average nutrient export coefficient."))),"","In the absence of real world data, this figure has been generated using the most relevant average nutrient export coefficient."))</f>
        <v/>
      </c>
    </row>
    <row r="28" spans="1:6" ht="24" customHeight="1">
      <c r="A28" s="44" t="s">
        <v>95</v>
      </c>
      <c r="B28" s="19">
        <f>SUM(B11:B27)</f>
        <v>0</v>
      </c>
      <c r="C28" s="20">
        <f>SUM(C11:C27)</f>
        <v>0</v>
      </c>
      <c r="D28" s="24"/>
    </row>
    <row r="30" spans="1:6" ht="15">
      <c r="F30" s="25"/>
    </row>
  </sheetData>
  <sheetProtection algorithmName="SHA-512" hashValue="o0hI1R5QRrSq7GOkuVtS8lbepC9xqZJCN1ChxoARv99Tt5NySiJq3xob9aQm5/jmoaNbZmVQUJ1xhA2rJXdSYg==" saltValue="RPAwOCHxn+c+wWgg5VDIAg=="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88"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Value_look_up_tables!$A$328</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Value_look_up_tables!$A$304:$A$312</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Value_look_up_tables!$A$341:$A$342</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Value_look_up_tables!$A$332:$A$337</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Value_look_up_tables!$A$366:$A$381</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40625" defaultRowHeight="14.25"/>
  <cols>
    <col min="1" max="1" width="71.5703125" style="37" customWidth="1"/>
    <col min="2" max="2" width="40.5703125" style="37" customWidth="1"/>
    <col min="3" max="3" width="24.5703125" style="37" customWidth="1"/>
    <col min="4" max="473" width="8.5703125" style="37" customWidth="1"/>
    <col min="474" max="16384" width="9.140625" style="37"/>
  </cols>
  <sheetData>
    <row r="1" spans="1:3" ht="30">
      <c r="A1" s="13" t="s">
        <v>15</v>
      </c>
      <c r="B1" s="36"/>
      <c r="C1" s="36"/>
    </row>
    <row r="2" spans="1:3" ht="242.1" customHeight="1">
      <c r="A2" s="32" t="s">
        <v>96</v>
      </c>
      <c r="B2" s="77"/>
      <c r="C2" s="36"/>
    </row>
    <row r="3" spans="1:3" ht="69.95" customHeight="1">
      <c r="A3" s="22" t="s">
        <v>97</v>
      </c>
      <c r="B3" s="38"/>
      <c r="C3" s="38"/>
    </row>
    <row r="4" spans="1:3" ht="54" customHeight="1">
      <c r="A4" s="33" t="s">
        <v>98</v>
      </c>
      <c r="B4" s="33" t="s">
        <v>92</v>
      </c>
      <c r="C4" s="33" t="s">
        <v>99</v>
      </c>
    </row>
    <row r="5" spans="1:3" ht="23.25" customHeight="1">
      <c r="A5" s="34"/>
      <c r="B5" s="18"/>
      <c r="C5" s="41" t="str">
        <f>IF(OR(ISBLANK(A5),ISBLANK(B5)),"",B5*VLOOKUP((IF(OR(A5="Residential urban land",A5="Commercial/industrial urban land",A5="Open urban land",A5="Greenspace",A5="Community food growing",A5="Woodland",A5="Shrub", A5="Water"), "|||"&amp;A5, (VLOOKUP(Nutrients_from_current_land_use!$B$5,Value_look_up_tables!$A$328:$B$328,2,FALSE)&amp;"|"&amp;A5&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6" spans="1:3" ht="23.25" customHeight="1">
      <c r="A6" s="1"/>
      <c r="B6" s="17"/>
      <c r="C6" s="39" t="str">
        <f>IF(OR(ISBLANK(A6),ISBLANK(B6)),"",B6*VLOOKUP((IF(OR(A6="Residential urban land",A6="Commercial/industrial urban land",A6="Open urban land",A6="Greenspace",A6="Community food growing",A6="Woodland",A6="Shrub", A6="Water"), "|||"&amp;A6, (VLOOKUP(Nutrients_from_current_land_use!$B$5,Value_look_up_tables!$A$328:$B$328,2,FALSE)&amp;"|"&amp;A6&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7" spans="1:3" ht="23.25" customHeight="1">
      <c r="A7" s="1"/>
      <c r="B7" s="17"/>
      <c r="C7" s="39" t="str">
        <f>IF(OR(ISBLANK(A7),ISBLANK(B7)),"",B7*VLOOKUP((IF(OR(A7="Residential urban land",A7="Commercial/industrial urban land",A7="Open urban land",A7="Greenspace",A7="Community food growing",A7="Woodland",A7="Shrub", A7="Water"), "|||"&amp;A7, (VLOOKUP(Nutrients_from_current_land_use!$B$5,Value_look_up_tables!$A$328:$B$328,2,FALSE)&amp;"|"&amp;A7&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8" spans="1:3" ht="23.25" customHeight="1">
      <c r="A8" s="1"/>
      <c r="B8" s="17"/>
      <c r="C8" s="39" t="str">
        <f>IF(OR(ISBLANK(A8),ISBLANK(B8)),"",B8*VLOOKUP((IF(OR(A8="Residential urban land",A8="Commercial/industrial urban land",A8="Open urban land",A8="Greenspace",A8="Community food growing",A8="Woodland",A8="Shrub", A8="Water"), "|||"&amp;A8, (VLOOKUP(Nutrients_from_current_land_use!$B$5,Value_look_up_tables!$A$328:$B$328,2,FALSE)&amp;"|"&amp;A8&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9" spans="1:3" ht="23.25" customHeight="1">
      <c r="A9" s="1"/>
      <c r="B9" s="17"/>
      <c r="C9" s="39" t="str">
        <f>IF(OR(ISBLANK(A9),ISBLANK(B9)),"",B9*VLOOKUP((IF(OR(A9="Residential urban land",A9="Commercial/industrial urban land",A9="Open urban land",A9="Greenspace",A9="Community food growing",A9="Woodland",A9="Shrub", A9="Water"), "|||"&amp;A9, (VLOOKUP(Nutrients_from_current_land_use!$B$5,Value_look_up_tables!$A$328:$B$328,2,FALSE)&amp;"|"&amp;A9&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10" spans="1:3" ht="23.25" customHeight="1">
      <c r="A10" s="1"/>
      <c r="B10" s="17"/>
      <c r="C10" s="39" t="str">
        <f>IF(OR(ISBLANK(A10),ISBLANK(B10)),"",B10*VLOOKUP((IF(OR(A10="Residential urban land",A10="Commercial/industrial urban land",A10="Open urban land",A10="Greenspace",A10="Community food growing",A10="Woodland",A10="Shrub", A10="Water"), "|||"&amp;A10, (VLOOKUP(Nutrients_from_current_land_use!$B$5,Value_look_up_tables!$A$328:$B$328,2,FALSE)&amp;"|"&amp;A10&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11" spans="1:3" ht="23.25" customHeight="1">
      <c r="A11" s="1"/>
      <c r="B11" s="17"/>
      <c r="C11" s="39" t="str">
        <f>IF(OR(ISBLANK(A11),ISBLANK(B11)),"",B11*VLOOKUP((IF(OR(A11="Residential urban land",A11="Commercial/industrial urban land",A11="Open urban land",A11="Greenspace",A11="Community food growing",A11="Woodland",A11="Shrub", A11="Water"), "|||"&amp;A11, (VLOOKUP(Nutrients_from_current_land_use!$B$5,Value_look_up_tables!$A$328:$B$328,2,FALSE)&amp;"|"&amp;A11&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12" spans="1:3" ht="23.25" customHeight="1">
      <c r="A12" s="1"/>
      <c r="B12" s="17"/>
      <c r="C12" s="39" t="str">
        <f>IF(OR(ISBLANK(A12),ISBLANK(B12)),"",B12*VLOOKUP((IF(OR(A12="Residential urban land",A12="Commercial/industrial urban land",A12="Open urban land",A12="Greenspace",A12="Community food growing",A12="Woodland",A12="Shrub", A12="Water"), "|||"&amp;A12, (VLOOKUP(Nutrients_from_current_land_use!$B$5,Value_look_up_tables!$A$328:$B$328,2,FALSE)&amp;"|"&amp;A12&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13" spans="1:3" ht="23.25" customHeight="1">
      <c r="A13" s="1"/>
      <c r="B13" s="17"/>
      <c r="C13" s="39" t="str">
        <f>IF(OR(ISBLANK(A13),ISBLANK(B13)),"",B13*VLOOKUP((IF(OR(A13="Residential urban land",A13="Commercial/industrial urban land",A13="Open urban land",A13="Greenspace",A13="Community food growing",A13="Woodland",A13="Shrub", A13="Water"), "|||"&amp;A13, (VLOOKUP(Nutrients_from_current_land_use!$B$5,Value_look_up_tables!$A$328:$B$328,2,FALSE)&amp;"|"&amp;A13&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14" spans="1:3" ht="23.25" customHeight="1">
      <c r="A14" s="1"/>
      <c r="B14" s="17"/>
      <c r="C14" s="39" t="str">
        <f>IF(OR(ISBLANK(A14),ISBLANK(B14)),"",B14*VLOOKUP((IF(OR(A14="Residential urban land",A14="Commercial/industrial urban land",A14="Open urban land",A14="Greenspace",A14="Community food growing",A14="Woodland",A14="Shrub", A14="Water"), "|||"&amp;A14, (VLOOKUP(Nutrients_from_current_land_use!$B$5,Value_look_up_tables!$A$328:$B$328,2,FALSE)&amp;"|"&amp;A14&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15" spans="1:3" ht="23.25" customHeight="1">
      <c r="A15" s="1"/>
      <c r="B15" s="17"/>
      <c r="C15" s="39" t="str">
        <f>IF(OR(ISBLANK(A15),ISBLANK(B15)),"",B15*VLOOKUP((IF(OR(A15="Residential urban land",A15="Commercial/industrial urban land",A15="Open urban land",A15="Greenspace",A15="Community food growing",A15="Woodland",A15="Shrub", A15="Water"), "|||"&amp;A15, (VLOOKUP(Nutrients_from_current_land_use!$B$5,Value_look_up_tables!$A$328:$B$328,2,FALSE)&amp;"|"&amp;A15&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16" spans="1:3" ht="23.25" customHeight="1">
      <c r="A16" s="1"/>
      <c r="B16" s="17"/>
      <c r="C16" s="39" t="str">
        <f>IF(OR(ISBLANK(A16),ISBLANK(B16)),"",B16*VLOOKUP((IF(OR(A16="Residential urban land",A16="Commercial/industrial urban land",A16="Open urban land",A16="Greenspace",A16="Community food growing",A16="Woodland",A16="Shrub", A16="Water"), "|||"&amp;A16, (VLOOKUP(Nutrients_from_current_land_use!$B$5,Value_look_up_tables!$A$328:$B$328,2,FALSE)&amp;"|"&amp;A16&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17" spans="1:5" ht="23.25" customHeight="1">
      <c r="A17" s="1"/>
      <c r="B17" s="17"/>
      <c r="C17" s="39" t="str">
        <f>IF(OR(ISBLANK(A17),ISBLANK(B17)),"",B17*VLOOKUP((IF(OR(A17="Residential urban land",A17="Commercial/industrial urban land",A17="Open urban land",A17="Greenspace",A17="Community food growing",A17="Woodland",A17="Shrub", A17="Water"), "|||"&amp;A17, (VLOOKUP(Nutrients_from_current_land_use!$B$5,Value_look_up_tables!$A$328:$B$328,2,FALSE)&amp;"|"&amp;A17&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18" spans="1:5" ht="23.25" customHeight="1">
      <c r="A18" s="1"/>
      <c r="B18" s="17"/>
      <c r="C18" s="39" t="str">
        <f>IF(OR(ISBLANK(A18),ISBLANK(B18)),"",B18*VLOOKUP((IF(OR(A18="Residential urban land",A18="Commercial/industrial urban land",A18="Open urban land",A18="Greenspace",A18="Community food growing",A18="Woodland",A18="Shrub", A18="Water"), "|||"&amp;A18, (VLOOKUP(Nutrients_from_current_land_use!$B$5,Value_look_up_tables!$A$328:$B$328,2,FALSE)&amp;"|"&amp;A18&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19" spans="1:5" ht="23.25" customHeight="1">
      <c r="A19" s="1"/>
      <c r="B19" s="17"/>
      <c r="C19" s="39" t="str">
        <f>IF(OR(ISBLANK(A19),ISBLANK(B19)),"",B19*VLOOKUP((IF(OR(A19="Residential urban land",A19="Commercial/industrial urban land",A19="Open urban land",A19="Greenspace",A19="Community food growing",A19="Woodland",A19="Shrub", A19="Water"), "|||"&amp;A19, (VLOOKUP(Nutrients_from_current_land_use!$B$5,Value_look_up_tables!$A$328:$B$328,2,FALSE)&amp;"|"&amp;A19&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20" spans="1:5" ht="23.25" customHeight="1">
      <c r="A20" s="1"/>
      <c r="B20" s="17"/>
      <c r="C20" s="39" t="str">
        <f>IF(OR(ISBLANK(A20),ISBLANK(B20)),"",B20*VLOOKUP((IF(OR(A20="Residential urban land",A20="Commercial/industrial urban land",A20="Open urban land",A20="Greenspace",A20="Community food growing",A20="Woodland",A20="Shrub", A20="Water"), "|||"&amp;A20, (VLOOKUP(Nutrients_from_current_land_use!$B$5,Value_look_up_tables!$A$328:$B$328,2,FALSE)&amp;"|"&amp;A20&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c r="E20" s="42"/>
    </row>
    <row r="21" spans="1:5" ht="23.25" customHeight="1">
      <c r="A21" s="1"/>
      <c r="B21" s="17"/>
      <c r="C21" s="39" t="str">
        <f>IF(OR(ISBLANK(A21),ISBLANK(B21)),"",B21*VLOOKUP((IF(OR(A21="Residential urban land",A21="Commercial/industrial urban land",A21="Open urban land",A21="Greenspace",A21="Community food growing",A21="Woodland",A21="Shrub", A21="Water"), "|||"&amp;A21, (VLOOKUP(Nutrients_from_current_land_use!$B$5,Value_look_up_tables!$A$328:$B$328,2,FALSE)&amp;"|"&amp;A21&amp;"|"&amp;VLOOKUP(Nutrients_from_current_land_use!#REF!,Value_look_up_tables!$A$341:$B$342,2,FALSE)&amp;"|"&amp;VLOOKUP(Nutrients_from_current_land_use!#REF!,Value_look_up_tables!$A$302:$C$324,3,FALSE)&amp;"|"&amp;VLOOKUP(Nutrients_from_current_land_use!$B$6,Value_look_up_tables!$A$332:$B$337,2,FALSE)))),Value_look_up_tables!$F$39:$H$298,3,FALSE))</f>
        <v/>
      </c>
    </row>
    <row r="22" spans="1:5" ht="23.25" customHeight="1">
      <c r="A22" s="10" t="s">
        <v>95</v>
      </c>
      <c r="B22" s="43">
        <f>SUM(B5:B21)</f>
        <v>0</v>
      </c>
      <c r="C22" s="39">
        <f>SUM(C5:C21)</f>
        <v>0</v>
      </c>
    </row>
  </sheetData>
  <sheetProtection algorithmName="SHA-512" hashValue="66u30w6YKheXR9yMDEEw0g3CsFHuc7tpOkhWck7BldrczTBODhgdQqVd0PLmHgmkzDIjQGvfKFy133UcCmTnSw==" saltValue="M9xzzNxVJB/pLl3n9MIg/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Value_look_up_tables!$A$355:$A$362</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29"/>
  <sheetViews>
    <sheetView zoomScaleNormal="100" workbookViewId="0"/>
  </sheetViews>
  <sheetFormatPr defaultColWidth="9.140625" defaultRowHeight="14.25"/>
  <cols>
    <col min="1" max="1" width="137.28515625" style="40" customWidth="1"/>
    <col min="2" max="3" width="19.85546875" style="40" customWidth="1"/>
    <col min="4" max="4" width="19.5703125" style="40" customWidth="1"/>
    <col min="5" max="5" width="60.85546875" style="40" customWidth="1"/>
    <col min="6" max="6" width="23" style="40" customWidth="1"/>
    <col min="7" max="7" width="23.7109375" style="40" customWidth="1"/>
    <col min="8" max="8" width="50.7109375" style="40" customWidth="1"/>
    <col min="9" max="471" width="8.5703125" style="40" customWidth="1"/>
    <col min="472" max="16384" width="9.140625" style="40"/>
  </cols>
  <sheetData>
    <row r="1" spans="1:11" ht="67.5" customHeight="1">
      <c r="A1" s="13" t="s">
        <v>100</v>
      </c>
      <c r="B1" s="36"/>
      <c r="C1" s="36"/>
      <c r="D1" s="36"/>
    </row>
    <row r="2" spans="1:11" ht="409.6" customHeight="1">
      <c r="A2" s="2" t="s">
        <v>101</v>
      </c>
      <c r="B2" s="79"/>
      <c r="C2" s="79"/>
      <c r="D2" s="79"/>
    </row>
    <row r="3" spans="1:11" ht="97.5" customHeight="1">
      <c r="A3" s="73" t="s">
        <v>102</v>
      </c>
      <c r="B3" s="73" t="s">
        <v>103</v>
      </c>
      <c r="C3" s="73" t="s">
        <v>104</v>
      </c>
      <c r="D3" s="73" t="s">
        <v>105</v>
      </c>
      <c r="E3" s="73" t="s">
        <v>106</v>
      </c>
      <c r="F3" s="73" t="s">
        <v>107</v>
      </c>
      <c r="G3" s="73" t="s">
        <v>108</v>
      </c>
      <c r="H3" s="80" t="s">
        <v>94</v>
      </c>
    </row>
    <row r="4" spans="1:11" ht="28.5" customHeight="1">
      <c r="A4" s="82"/>
      <c r="B4" s="18"/>
      <c r="C4" s="74"/>
      <c r="D4" s="41" t="str">
        <f>IFERROR(IF(ISBLANK(A4),"",IF(ISBLANK(B4),"",VLOOKUP(A4,Nutrients_from_future_land_use!$A$5:$C$21,3,FALSE)*(B4/VLOOKUP(A4,Nutrients_from_future_land_use!$A$5:$C$21,2,FALSE)))),"")</f>
        <v/>
      </c>
      <c r="E4" s="74"/>
      <c r="F4" s="74"/>
      <c r="G4" s="41" t="str">
        <f t="shared" ref="G4:G28" si="0">IFERROR(IF(OR(ISBLANK($A4),ISBLANK($B4),ISBLANK($F4)),"",$C4/100*D4*F4/100),"")</f>
        <v/>
      </c>
      <c r="H4" s="3" t="str">
        <f>IF(SUMIFS($B$4:$B$28,$A$4:$A$28,A4)&gt;SUMIFS(Nutrients_from_future_land_use!$B$5:$B$21,Nutrients_from_future_land_use!$A$5:$A$21,A4),"Area of new land covers within SuDS catchment area exceeds the area of new land covers proposed","")</f>
        <v/>
      </c>
    </row>
    <row r="5" spans="1:11" ht="28.5" customHeight="1">
      <c r="A5" s="83"/>
      <c r="B5" s="17"/>
      <c r="C5" s="74"/>
      <c r="D5" s="41" t="str">
        <f>IFERROR(IF(ISBLANK(A5),"",IF(ISBLANK(B5),"",VLOOKUP(A5,Nutrients_from_future_land_use!$A$5:$C$21,3,FALSE)*(B5/VLOOKUP(A5,Nutrients_from_future_land_use!$A$5:$C$21,2,FALSE)))),"")</f>
        <v/>
      </c>
      <c r="E5" s="74"/>
      <c r="F5" s="74"/>
      <c r="G5" s="41" t="str">
        <f t="shared" si="0"/>
        <v/>
      </c>
      <c r="H5" s="3" t="str">
        <f>IF(SUMIFS($B$4:$B$28,$A$4:$A$28,A5)&gt;SUMIFS(Nutrients_from_future_land_use!$B$5:$B$21,Nutrients_from_future_land_use!$A$5:$A$21,A5),"Area of new land covers within SuDS catchment area exceeds the area of new land covers proposed","")</f>
        <v/>
      </c>
    </row>
    <row r="6" spans="1:11" ht="28.5" customHeight="1">
      <c r="A6" s="83"/>
      <c r="B6" s="17"/>
      <c r="C6" s="74"/>
      <c r="D6" s="41" t="str">
        <f>IFERROR(IF(ISBLANK(A6),"",IF(ISBLANK(B6),"",VLOOKUP(A6,Nutrients_from_future_land_use!$A$5:$C$21,3,FALSE)*(B6/VLOOKUP(A6,Nutrients_from_future_land_use!$A$5:$C$21,2,FALSE)))),"")</f>
        <v/>
      </c>
      <c r="E6" s="74"/>
      <c r="F6" s="74"/>
      <c r="G6" s="41" t="str">
        <f t="shared" si="0"/>
        <v/>
      </c>
      <c r="H6" s="3" t="str">
        <f>IF(SUMIFS($B$4:$B$28,$A$4:$A$28,A6)&gt;SUMIFS(Nutrients_from_future_land_use!$B$5:$B$21,Nutrients_from_future_land_use!$A$5:$A$21,A6),"Area of new land covers within SuDS catchment area exceeds the area of new land covers proposed","")</f>
        <v/>
      </c>
    </row>
    <row r="7" spans="1:11" ht="28.5" customHeight="1">
      <c r="A7" s="83"/>
      <c r="B7" s="17"/>
      <c r="C7" s="74"/>
      <c r="D7" s="41" t="str">
        <f>IFERROR(IF(ISBLANK(A7),"",IF(ISBLANK(B7),"",VLOOKUP(A7,Nutrients_from_future_land_use!$A$5:$C$21,3,FALSE)*(B7/VLOOKUP(A7,Nutrients_from_future_land_use!$A$5:$C$21,2,FALSE)))),"")</f>
        <v/>
      </c>
      <c r="E7" s="74"/>
      <c r="F7" s="74"/>
      <c r="G7" s="41" t="str">
        <f t="shared" si="0"/>
        <v/>
      </c>
      <c r="H7" s="3" t="str">
        <f>IF(SUMIFS($B$4:$B$28,$A$4:$A$28,A7)&gt;SUMIFS(Nutrients_from_future_land_use!$B$5:$B$21,Nutrients_from_future_land_use!$A$5:$A$21,A7),"Area of new land covers within SuDS catchment area exceeds the area of new land covers proposed","")</f>
        <v/>
      </c>
    </row>
    <row r="8" spans="1:11" ht="28.5" customHeight="1">
      <c r="A8" s="83"/>
      <c r="B8" s="17"/>
      <c r="C8" s="74"/>
      <c r="D8" s="41" t="str">
        <f>IFERROR(IF(ISBLANK(A8),"",IF(ISBLANK(B8),"",VLOOKUP(A8,Nutrients_from_future_land_use!$A$5:$C$21,3,FALSE)*(B8/VLOOKUP(A8,Nutrients_from_future_land_use!$A$5:$C$21,2,FALSE)))),"")</f>
        <v/>
      </c>
      <c r="E8" s="74"/>
      <c r="F8" s="74"/>
      <c r="G8" s="41" t="str">
        <f t="shared" si="0"/>
        <v/>
      </c>
      <c r="H8" s="3" t="str">
        <f>IF(SUMIFS($B$4:$B$28,$A$4:$A$28,A8)&gt;SUMIFS(Nutrients_from_future_land_use!$B$5:$B$21,Nutrients_from_future_land_use!$A$5:$A$21,A8),"Area of new land covers within SuDS catchment area exceeds the area of new land covers proposed","")</f>
        <v/>
      </c>
      <c r="K8" s="78"/>
    </row>
    <row r="9" spans="1:11" ht="28.5" customHeight="1">
      <c r="A9" s="83"/>
      <c r="B9" s="17"/>
      <c r="C9" s="74"/>
      <c r="D9" s="41" t="str">
        <f>IFERROR(IF(ISBLANK(A9),"",IF(ISBLANK(B9),"",VLOOKUP(A9,Nutrients_from_future_land_use!$A$5:$C$21,3,FALSE)*(B9/VLOOKUP(A9,Nutrients_from_future_land_use!$A$5:$C$21,2,FALSE)))),"")</f>
        <v/>
      </c>
      <c r="E9" s="74"/>
      <c r="F9" s="74"/>
      <c r="G9" s="41" t="str">
        <f t="shared" si="0"/>
        <v/>
      </c>
      <c r="H9" s="3" t="str">
        <f>IF(SUMIFS($B$4:$B$28,$A$4:$A$28,A9)&gt;SUMIFS(Nutrients_from_future_land_use!$B$5:$B$21,Nutrients_from_future_land_use!$A$5:$A$21,A9),"Area of new land covers within SuDS catchment area exceeds the area of new land covers proposed","")</f>
        <v/>
      </c>
      <c r="K9" s="78"/>
    </row>
    <row r="10" spans="1:11" ht="28.5" customHeight="1">
      <c r="A10" s="83"/>
      <c r="B10" s="17"/>
      <c r="C10" s="74"/>
      <c r="D10" s="41" t="str">
        <f>IFERROR(IF(ISBLANK(A10),"",IF(ISBLANK(B10),"",VLOOKUP(A10,Nutrients_from_future_land_use!$A$5:$C$21,3,FALSE)*(B10/VLOOKUP(A10,Nutrients_from_future_land_use!$A$5:$C$21,2,FALSE)))),"")</f>
        <v/>
      </c>
      <c r="E10" s="74"/>
      <c r="F10" s="74"/>
      <c r="G10" s="41" t="str">
        <f t="shared" si="0"/>
        <v/>
      </c>
      <c r="H10" s="3" t="str">
        <f>IF(SUMIFS($B$4:$B$28,$A$4:$A$28,A10)&gt;SUMIFS(Nutrients_from_future_land_use!$B$5:$B$21,Nutrients_from_future_land_use!$A$5:$A$21,A10),"Area of new land covers within SuDS catchment area exceeds the area of new land covers proposed","")</f>
        <v/>
      </c>
      <c r="K10" s="78"/>
    </row>
    <row r="11" spans="1:11" ht="28.5" customHeight="1">
      <c r="A11" s="83"/>
      <c r="B11" s="17"/>
      <c r="C11" s="74"/>
      <c r="D11" s="41" t="str">
        <f>IFERROR(IF(ISBLANK(A11),"",IF(ISBLANK(B11),"",VLOOKUP(A11,Nutrients_from_future_land_use!$A$5:$C$21,3,FALSE)*(B11/VLOOKUP(A11,Nutrients_from_future_land_use!$A$5:$C$21,2,FALSE)))),"")</f>
        <v/>
      </c>
      <c r="E11" s="74"/>
      <c r="F11" s="74"/>
      <c r="G11" s="41" t="str">
        <f t="shared" si="0"/>
        <v/>
      </c>
      <c r="H11" s="3" t="str">
        <f>IF(SUMIFS($B$4:$B$28,$A$4:$A$28,A11)&gt;SUMIFS(Nutrients_from_future_land_use!$B$5:$B$21,Nutrients_from_future_land_use!$A$5:$A$21,A11),"Area of new land covers within SuDS catchment area exceeds the area of new land covers proposed","")</f>
        <v/>
      </c>
      <c r="K11" s="78"/>
    </row>
    <row r="12" spans="1:11" ht="28.5" customHeight="1">
      <c r="A12" s="83"/>
      <c r="B12" s="17"/>
      <c r="C12" s="74"/>
      <c r="D12" s="41" t="str">
        <f>IFERROR(IF(ISBLANK(A12),"",IF(ISBLANK(B12),"",VLOOKUP(A12,Nutrients_from_future_land_use!$A$5:$C$21,3,FALSE)*(B12/VLOOKUP(A12,Nutrients_from_future_land_use!$A$5:$C$21,2,FALSE)))),"")</f>
        <v/>
      </c>
      <c r="E12" s="74"/>
      <c r="F12" s="74"/>
      <c r="G12" s="41" t="str">
        <f t="shared" si="0"/>
        <v/>
      </c>
      <c r="H12" s="3" t="str">
        <f>IF(SUMIFS($B$4:$B$28,$A$4:$A$28,A12)&gt;SUMIFS(Nutrients_from_future_land_use!$B$5:$B$21,Nutrients_from_future_land_use!$A$5:$A$21,A12),"Area of new land covers within SuDS catchment area exceeds the area of new land covers proposed","")</f>
        <v/>
      </c>
      <c r="K12" s="78"/>
    </row>
    <row r="13" spans="1:11" ht="28.5" customHeight="1">
      <c r="A13" s="83"/>
      <c r="B13" s="17"/>
      <c r="C13" s="74"/>
      <c r="D13" s="41" t="str">
        <f>IFERROR(IF(ISBLANK(A13),"",IF(ISBLANK(B13),"",VLOOKUP(A13,Nutrients_from_future_land_use!$A$5:$C$21,3,FALSE)*(B13/VLOOKUP(A13,Nutrients_from_future_land_use!$A$5:$C$21,2,FALSE)))),"")</f>
        <v/>
      </c>
      <c r="E13" s="74"/>
      <c r="F13" s="74"/>
      <c r="G13" s="41" t="str">
        <f t="shared" si="0"/>
        <v/>
      </c>
      <c r="H13" s="3" t="str">
        <f>IF(SUMIFS($B$4:$B$28,$A$4:$A$28,A13)&gt;SUMIFS(Nutrients_from_future_land_use!$B$5:$B$21,Nutrients_from_future_land_use!$A$5:$A$21,A13),"Area of new land covers within SuDS catchment area exceeds the area of new land covers proposed","")</f>
        <v/>
      </c>
      <c r="K13" s="78"/>
    </row>
    <row r="14" spans="1:11" ht="28.5" customHeight="1">
      <c r="A14" s="83"/>
      <c r="B14" s="17"/>
      <c r="C14" s="74"/>
      <c r="D14" s="41" t="str">
        <f>IFERROR(IF(ISBLANK(A14),"",IF(ISBLANK(B14),"",VLOOKUP(A14,Nutrients_from_future_land_use!$A$5:$C$21,3,FALSE)*(B14/VLOOKUP(A14,Nutrients_from_future_land_use!$A$5:$C$21,2,FALSE)))),"")</f>
        <v/>
      </c>
      <c r="E14" s="74"/>
      <c r="F14" s="74"/>
      <c r="G14" s="41" t="str">
        <f t="shared" si="0"/>
        <v/>
      </c>
      <c r="H14" s="3" t="str">
        <f>IF(SUMIFS($B$4:$B$28,$A$4:$A$28,A14)&gt;SUMIFS(Nutrients_from_future_land_use!$B$5:$B$21,Nutrients_from_future_land_use!$A$5:$A$21,A14),"Area of new land covers within SuDS catchment area exceeds the area of new land covers proposed","")</f>
        <v/>
      </c>
    </row>
    <row r="15" spans="1:11" ht="28.5" customHeight="1">
      <c r="A15" s="83"/>
      <c r="B15" s="17"/>
      <c r="C15" s="74"/>
      <c r="D15" s="41" t="str">
        <f>IFERROR(IF(ISBLANK(A15),"",IF(ISBLANK(B15),"",VLOOKUP(A15,Nutrients_from_future_land_use!$A$5:$C$21,3,FALSE)*(B15/VLOOKUP(A15,Nutrients_from_future_land_use!$A$5:$C$21,2,FALSE)))),"")</f>
        <v/>
      </c>
      <c r="E15" s="74"/>
      <c r="F15" s="74"/>
      <c r="G15" s="41" t="str">
        <f t="shared" si="0"/>
        <v/>
      </c>
      <c r="H15" s="3" t="str">
        <f>IF(SUMIFS($B$4:$B$28,$A$4:$A$28,A15)&gt;SUMIFS(Nutrients_from_future_land_use!$B$5:$B$21,Nutrients_from_future_land_use!$A$5:$A$21,A15),"Area of new land covers within SuDS catchment area exceeds the area of new land covers proposed","")</f>
        <v/>
      </c>
    </row>
    <row r="16" spans="1:11" ht="28.5" customHeight="1">
      <c r="A16" s="83"/>
      <c r="B16" s="17"/>
      <c r="C16" s="74"/>
      <c r="D16" s="41" t="str">
        <f>IFERROR(IF(ISBLANK(A16),"",IF(ISBLANK(B16),"",VLOOKUP(A16,Nutrients_from_future_land_use!$A$5:$C$21,3,FALSE)*(B16/VLOOKUP(A16,Nutrients_from_future_land_use!$A$5:$C$21,2,FALSE)))),"")</f>
        <v/>
      </c>
      <c r="E16" s="74"/>
      <c r="F16" s="74"/>
      <c r="G16" s="41" t="str">
        <f t="shared" si="0"/>
        <v/>
      </c>
      <c r="H16" s="3" t="str">
        <f>IF(SUMIFS($B$4:$B$28,$A$4:$A$28,A16)&gt;SUMIFS(Nutrients_from_future_land_use!$B$5:$B$21,Nutrients_from_future_land_use!$A$5:$A$21,A16),"Area of new land covers within SuDS catchment area exceeds the area of new land covers proposed","")</f>
        <v/>
      </c>
    </row>
    <row r="17" spans="1:8" ht="28.5" customHeight="1">
      <c r="A17" s="83"/>
      <c r="B17" s="17"/>
      <c r="C17" s="74"/>
      <c r="D17" s="41" t="str">
        <f>IFERROR(IF(ISBLANK(A17),"",IF(ISBLANK(B17),"",VLOOKUP(A17,Nutrients_from_future_land_use!$A$5:$C$21,3,FALSE)*(B17/VLOOKUP(A17,Nutrients_from_future_land_use!$A$5:$C$21,2,FALSE)))),"")</f>
        <v/>
      </c>
      <c r="E17" s="74"/>
      <c r="F17" s="74"/>
      <c r="G17" s="41" t="str">
        <f t="shared" si="0"/>
        <v/>
      </c>
      <c r="H17" s="3" t="str">
        <f>IF(SUMIFS($B$4:$B$28,$A$4:$A$28,A17)&gt;SUMIFS(Nutrients_from_future_land_use!$B$5:$B$21,Nutrients_from_future_land_use!$A$5:$A$21,A17),"Area of new land covers within SuDS catchment area exceeds the area of new land covers proposed","")</f>
        <v/>
      </c>
    </row>
    <row r="18" spans="1:8" ht="28.5" customHeight="1">
      <c r="A18" s="83"/>
      <c r="B18" s="17"/>
      <c r="C18" s="74"/>
      <c r="D18" s="41" t="str">
        <f>IFERROR(IF(ISBLANK(A18),"",IF(ISBLANK(B18),"",VLOOKUP(A18,Nutrients_from_future_land_use!$A$5:$C$21,3,FALSE)*(B18/VLOOKUP(A18,Nutrients_from_future_land_use!$A$5:$C$21,2,FALSE)))),"")</f>
        <v/>
      </c>
      <c r="E18" s="74"/>
      <c r="F18" s="74"/>
      <c r="G18" s="41" t="str">
        <f t="shared" si="0"/>
        <v/>
      </c>
      <c r="H18" s="3" t="str">
        <f>IF(SUMIFS($B$4:$B$28,$A$4:$A$28,A18)&gt;SUMIFS(Nutrients_from_future_land_use!$B$5:$B$21,Nutrients_from_future_land_use!$A$5:$A$21,A18),"Area of new land covers within SuDS catchment area exceeds the area of new land covers proposed","")</f>
        <v/>
      </c>
    </row>
    <row r="19" spans="1:8" ht="28.5" customHeight="1">
      <c r="A19" s="83"/>
      <c r="B19" s="17"/>
      <c r="C19" s="74"/>
      <c r="D19" s="41" t="str">
        <f>IFERROR(IF(ISBLANK(A19),"",IF(ISBLANK(B19),"",VLOOKUP(A19,Nutrients_from_future_land_use!$A$5:$C$21,3,FALSE)*(B19/VLOOKUP(A19,Nutrients_from_future_land_use!$A$5:$C$21,2,FALSE)))),"")</f>
        <v/>
      </c>
      <c r="E19" s="74"/>
      <c r="F19" s="74"/>
      <c r="G19" s="41" t="str">
        <f t="shared" si="0"/>
        <v/>
      </c>
      <c r="H19" s="3" t="str">
        <f>IF(SUMIFS($B$4:$B$28,$A$4:$A$28,A19)&gt;SUMIFS(Nutrients_from_future_land_use!$B$5:$B$21,Nutrients_from_future_land_use!$A$5:$A$21,A19),"Area of new land covers within SuDS catchment area exceeds the area of new land covers proposed","")</f>
        <v/>
      </c>
    </row>
    <row r="20" spans="1:8" ht="28.5" customHeight="1">
      <c r="A20" s="83"/>
      <c r="B20" s="17"/>
      <c r="C20" s="74"/>
      <c r="D20" s="41" t="str">
        <f>IFERROR(IF(ISBLANK(A20),"",IF(ISBLANK(B20),"",VLOOKUP(A20,Nutrients_from_future_land_use!$A$5:$C$21,3,FALSE)*(B20/VLOOKUP(A20,Nutrients_from_future_land_use!$A$5:$C$21,2,FALSE)))),"")</f>
        <v/>
      </c>
      <c r="E20" s="74"/>
      <c r="F20" s="74"/>
      <c r="G20" s="41" t="str">
        <f t="shared" si="0"/>
        <v/>
      </c>
      <c r="H20" s="3" t="str">
        <f>IF(SUMIFS($B$4:$B$28,$A$4:$A$28,A20)&gt;SUMIFS(Nutrients_from_future_land_use!$B$5:$B$21,Nutrients_from_future_land_use!$A$5:$A$21,A20),"Area of new land covers within SuDS catchment area exceeds the area of new land covers proposed","")</f>
        <v/>
      </c>
    </row>
    <row r="21" spans="1:8" ht="28.5" customHeight="1">
      <c r="A21" s="83"/>
      <c r="B21" s="17"/>
      <c r="C21" s="74"/>
      <c r="D21" s="41" t="str">
        <f>IFERROR(IF(ISBLANK(A21),"",IF(ISBLANK(B21),"",VLOOKUP(A21,Nutrients_from_future_land_use!$A$5:$C$21,3,FALSE)*(B21/VLOOKUP(A21,Nutrients_from_future_land_use!$A$5:$C$21,2,FALSE)))),"")</f>
        <v/>
      </c>
      <c r="E21" s="74"/>
      <c r="F21" s="74"/>
      <c r="G21" s="41" t="str">
        <f t="shared" si="0"/>
        <v/>
      </c>
      <c r="H21" s="3" t="str">
        <f>IF(SUMIFS($B$4:$B$28,$A$4:$A$28,A21)&gt;SUMIFS(Nutrients_from_future_land_use!$B$5:$B$21,Nutrients_from_future_land_use!$A$5:$A$21,A21),"Area of new land covers within SuDS catchment area exceeds the area of new land covers proposed","")</f>
        <v/>
      </c>
    </row>
    <row r="22" spans="1:8" ht="28.5" customHeight="1">
      <c r="A22" s="83"/>
      <c r="B22" s="17"/>
      <c r="C22" s="74"/>
      <c r="D22" s="41" t="str">
        <f>IFERROR(IF(ISBLANK(A22),"",IF(ISBLANK(B22),"",VLOOKUP(A22,Nutrients_from_future_land_use!$A$5:$C$21,3,FALSE)*(B22/VLOOKUP(A22,Nutrients_from_future_land_use!$A$5:$C$21,2,FALSE)))),"")</f>
        <v/>
      </c>
      <c r="E22" s="74"/>
      <c r="F22" s="74"/>
      <c r="G22" s="41" t="str">
        <f t="shared" si="0"/>
        <v/>
      </c>
      <c r="H22" s="3" t="str">
        <f>IF(SUMIFS($B$4:$B$28,$A$4:$A$28,A22)&gt;SUMIFS(Nutrients_from_future_land_use!$B$5:$B$21,Nutrients_from_future_land_use!$A$5:$A$21,A22),"Area of new land covers within SuDS catchment area exceeds the area of new land covers proposed","")</f>
        <v/>
      </c>
    </row>
    <row r="23" spans="1:8" ht="28.5" customHeight="1">
      <c r="A23" s="83"/>
      <c r="B23" s="17"/>
      <c r="C23" s="74"/>
      <c r="D23" s="41" t="str">
        <f>IFERROR(IF(ISBLANK(A23),"",IF(ISBLANK(B23),"",VLOOKUP(A23,Nutrients_from_future_land_use!$A$5:$C$21,3,FALSE)*(B23/VLOOKUP(A23,Nutrients_from_future_land_use!$A$5:$C$21,2,FALSE)))),"")</f>
        <v/>
      </c>
      <c r="E23" s="74"/>
      <c r="F23" s="74"/>
      <c r="G23" s="41" t="str">
        <f t="shared" si="0"/>
        <v/>
      </c>
      <c r="H23" s="3" t="str">
        <f>IF(SUMIFS($B$4:$B$28,$A$4:$A$28,A23)&gt;SUMIFS(Nutrients_from_future_land_use!$B$5:$B$21,Nutrients_from_future_land_use!$A$5:$A$21,A23),"Area of new land covers within SuDS catchment area exceeds the area of new land covers proposed","")</f>
        <v/>
      </c>
    </row>
    <row r="24" spans="1:8" ht="28.5" customHeight="1">
      <c r="A24" s="83"/>
      <c r="B24" s="17"/>
      <c r="C24" s="74"/>
      <c r="D24" s="41" t="str">
        <f>IFERROR(IF(ISBLANK(A24),"",IF(ISBLANK(B24),"",VLOOKUP(A24,Nutrients_from_future_land_use!$A$5:$C$21,3,FALSE)*(B24/VLOOKUP(A24,Nutrients_from_future_land_use!$A$5:$C$21,2,FALSE)))),"")</f>
        <v/>
      </c>
      <c r="E24" s="74"/>
      <c r="F24" s="74"/>
      <c r="G24" s="41" t="str">
        <f t="shared" si="0"/>
        <v/>
      </c>
      <c r="H24" s="3" t="str">
        <f>IF(SUMIFS($B$4:$B$28,$A$4:$A$28,A24)&gt;SUMIFS(Nutrients_from_future_land_use!$B$5:$B$21,Nutrients_from_future_land_use!$A$5:$A$21,A24),"Area of new land covers within SuDS catchment area exceeds the area of new land covers proposed","")</f>
        <v/>
      </c>
    </row>
    <row r="25" spans="1:8" ht="28.5" customHeight="1">
      <c r="A25" s="83"/>
      <c r="B25" s="17"/>
      <c r="C25" s="74"/>
      <c r="D25" s="41" t="str">
        <f>IFERROR(IF(ISBLANK(A25),"",IF(ISBLANK(B25),"",VLOOKUP(A25,Nutrients_from_future_land_use!$A$5:$C$21,3,FALSE)*(B25/VLOOKUP(A25,Nutrients_from_future_land_use!$A$5:$C$21,2,FALSE)))),"")</f>
        <v/>
      </c>
      <c r="E25" s="74"/>
      <c r="F25" s="74"/>
      <c r="G25" s="41" t="str">
        <f t="shared" si="0"/>
        <v/>
      </c>
      <c r="H25" s="3" t="str">
        <f>IF(SUMIFS($B$4:$B$28,$A$4:$A$28,A25)&gt;SUMIFS(Nutrients_from_future_land_use!$B$5:$B$21,Nutrients_from_future_land_use!$A$5:$A$21,A25),"Area of new land covers within SuDS catchment area exceeds the area of new land covers proposed","")</f>
        <v/>
      </c>
    </row>
    <row r="26" spans="1:8" ht="28.5" customHeight="1">
      <c r="A26" s="83"/>
      <c r="B26" s="17"/>
      <c r="C26" s="74"/>
      <c r="D26" s="41" t="str">
        <f>IFERROR(IF(ISBLANK(A26),"",IF(ISBLANK(B26),"",VLOOKUP(A26,Nutrients_from_future_land_use!$A$5:$C$21,3,FALSE)*(B26/VLOOKUP(A26,Nutrients_from_future_land_use!$A$5:$C$21,2,FALSE)))),"")</f>
        <v/>
      </c>
      <c r="E26" s="74"/>
      <c r="F26" s="74"/>
      <c r="G26" s="41" t="str">
        <f t="shared" si="0"/>
        <v/>
      </c>
      <c r="H26" s="3" t="str">
        <f>IF(SUMIFS($B$4:$B$28,$A$4:$A$28,A26)&gt;SUMIFS(Nutrients_from_future_land_use!$B$5:$B$21,Nutrients_from_future_land_use!$A$5:$A$21,A26),"Area of new land covers within SuDS catchment area exceeds the area of new land covers proposed","")</f>
        <v/>
      </c>
    </row>
    <row r="27" spans="1:8" ht="28.5" customHeight="1">
      <c r="A27" s="83"/>
      <c r="B27" s="17"/>
      <c r="C27" s="74"/>
      <c r="D27" s="41" t="str">
        <f>IFERROR(IF(ISBLANK(A27),"",IF(ISBLANK(B27),"",VLOOKUP(A27,Nutrients_from_future_land_use!$A$5:$C$21,3,FALSE)*(B27/VLOOKUP(A27,Nutrients_from_future_land_use!$A$5:$C$21,2,FALSE)))),"")</f>
        <v/>
      </c>
      <c r="E27" s="74"/>
      <c r="F27" s="74"/>
      <c r="G27" s="41" t="str">
        <f t="shared" si="0"/>
        <v/>
      </c>
      <c r="H27" s="3" t="str">
        <f>IF(SUMIFS($B$4:$B$28,$A$4:$A$28,A27)&gt;SUMIFS(Nutrients_from_future_land_use!$B$5:$B$21,Nutrients_from_future_land_use!$A$5:$A$21,A27),"Area of new land covers within SuDS catchment area exceeds the area of new land covers proposed","")</f>
        <v/>
      </c>
    </row>
    <row r="28" spans="1:8" ht="28.5" customHeight="1">
      <c r="A28" s="83"/>
      <c r="B28" s="17"/>
      <c r="C28" s="74"/>
      <c r="D28" s="41" t="str">
        <f>IFERROR(IF(ISBLANK(A28),"",IF(ISBLANK(B28),"",VLOOKUP(A28,Nutrients_from_future_land_use!$A$5:$C$21,3,FALSE)*(B28/VLOOKUP(A28,Nutrients_from_future_land_use!$A$5:$C$21,2,FALSE)))),"")</f>
        <v/>
      </c>
      <c r="E28" s="74"/>
      <c r="F28" s="74"/>
      <c r="G28" s="41" t="str">
        <f t="shared" si="0"/>
        <v/>
      </c>
      <c r="H28" s="3" t="str">
        <f>IF(SUMIFS($B$4:$B$28,$A$4:$A$28,A28)&gt;SUMIFS(Nutrients_from_future_land_use!$B$5:$B$21,Nutrients_from_future_land_use!$A$5:$A$21,A28),"Area of new land covers within SuDS catchment area exceeds the area of new land covers proposed","")</f>
        <v/>
      </c>
    </row>
    <row r="29" spans="1:8" ht="22.5" customHeight="1">
      <c r="A29" s="10" t="s">
        <v>95</v>
      </c>
      <c r="B29" s="75">
        <f>SUM(B4:B28)</f>
        <v>0</v>
      </c>
      <c r="C29" s="75"/>
      <c r="D29" s="75">
        <f t="shared" ref="D29" si="1">SUM(D4:D28)</f>
        <v>0</v>
      </c>
      <c r="E29" s="76"/>
      <c r="F29" s="76"/>
      <c r="G29" s="39">
        <f>SUM(G4:G28)</f>
        <v>0</v>
      </c>
      <c r="H29" s="81"/>
    </row>
  </sheetData>
  <sheetProtection algorithmName="SHA-512" hashValue="/88s6Z08Cl8rsuLGUTPI18tgUxGiTZ6YjwAh5NV6+rQiOST+ZoKpfR1h+w3vILCmx48dkQGPjhxtDC8DTrIhLA==" saltValue="mC1gCBcJxKO7FpP6Q1yZ9Q==" spinCount="100000" sheet="1" objects="1" scenarios="1"/>
  <protectedRanges>
    <protectedRange algorithmName="SHA-512" hashValue="MvmTLotpKiuRnedI3A4NjKJPVt4Aw8hcOvmE+D0rBMjM9TiU4ekXkprnHN0k9oVg0inb+CLcUsLFrJxBFcC6uw==" saltValue="93Zg0snhziumGVhjlXa2zg==" spinCount="100000" sqref="A4:A28 B29:D29" name="Range1"/>
    <protectedRange algorithmName="SHA-512" hashValue="MvmTLotpKiuRnedI3A4NjKJPVt4Aw8hcOvmE+D0rBMjM9TiU4ekXkprnHN0k9oVg0inb+CLcUsLFrJxBFcC6uw==" saltValue="93Zg0snhziumGVhjlXa2zg==" spinCount="100000" sqref="B4:C28" name="Range1_1"/>
  </protectedRanges>
  <phoneticPr fontId="9" type="noConversion"/>
  <dataValidations count="4">
    <dataValidation type="decimal" operator="greaterThanOrEqual" allowBlank="1" showErrorMessage="1" prompt="Please enter area in hectares." sqref="B4:B28" xr:uid="{217E3FA1-1BB8-45C3-9D2C-1D4956B28508}">
      <formula1>0</formula1>
    </dataValidation>
    <dataValidation type="decimal" allowBlank="1" showErrorMessage="1" prompt="Please enter area in hectares." sqref="C4:C28" xr:uid="{FBC78870-43D9-4EA6-A174-BF01D3A5A955}">
      <formula1>0</formula1>
      <formula2>100</formula2>
    </dataValidation>
    <dataValidation allowBlank="1" showErrorMessage="1" prompt="Please enter area in hectares." sqref="B29:D29" xr:uid="{4F17A0C8-BADF-4DA8-A067-4ABBCFF91399}"/>
    <dataValidation type="decimal" allowBlank="1" showErrorMessage="1" sqref="F4:F28"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_xlfn.ANCHORARRAY(Value_look_up_tables!$A$385)</xm:f>
          </x14:formula1>
          <xm:sqref>A4:A28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40625" defaultRowHeight="14.25"/>
  <cols>
    <col min="1" max="1" width="80.5703125" style="40" customWidth="1"/>
    <col min="2" max="4" width="40.5703125" style="40" customWidth="1"/>
    <col min="5" max="466" width="8.5703125" style="40" customWidth="1"/>
    <col min="467" max="16384" width="9.140625" style="40"/>
  </cols>
  <sheetData>
    <row r="1" spans="1:4" ht="50.25" customHeight="1">
      <c r="A1" s="55" t="s">
        <v>109</v>
      </c>
      <c r="B1" s="56"/>
      <c r="C1" s="64"/>
    </row>
    <row r="2" spans="1:4" ht="105" customHeight="1">
      <c r="A2" s="3" t="s">
        <v>110</v>
      </c>
      <c r="B2" s="57"/>
      <c r="C2" s="3"/>
      <c r="D2" s="3"/>
    </row>
    <row r="3" spans="1:4" ht="59.1" customHeight="1">
      <c r="A3" s="22" t="s">
        <v>111</v>
      </c>
      <c r="B3" s="43"/>
      <c r="C3" s="3"/>
      <c r="D3" s="3"/>
    </row>
    <row r="4" spans="1:4" ht="22.5" customHeight="1">
      <c r="A4" s="62" t="s">
        <v>78</v>
      </c>
      <c r="B4" s="65" t="s">
        <v>79</v>
      </c>
    </row>
    <row r="5" spans="1:4" ht="22.5" customHeight="1">
      <c r="A5" s="35" t="s">
        <v>112</v>
      </c>
      <c r="B5" s="66" t="str">
        <f>Nutrients_from_wastewater!B18</f>
        <v/>
      </c>
    </row>
    <row r="6" spans="1:4" ht="22.5" customHeight="1">
      <c r="A6" s="9" t="s">
        <v>113</v>
      </c>
      <c r="B6" s="59">
        <f>IFERROR(Nutrients_from_future_land_use!C22-SuDS!G29-Nutrients_from_current_land_use!C28,"")</f>
        <v>0</v>
      </c>
    </row>
    <row r="7" spans="1:4" ht="22.5" customHeight="1">
      <c r="A7" s="9" t="s">
        <v>114</v>
      </c>
      <c r="B7" s="59" t="str">
        <f>IFERROR(B5+B6,"")</f>
        <v/>
      </c>
    </row>
    <row r="8" spans="1:4" ht="22.5" customHeight="1">
      <c r="A8" s="9" t="s">
        <v>115</v>
      </c>
      <c r="B8" s="59" t="str">
        <f>IFERROR(IF(B7&lt;0,B7,B7*1.2),"")</f>
        <v/>
      </c>
    </row>
    <row r="9" spans="1:4" ht="22.5" customHeight="1">
      <c r="A9" s="58" t="str">
        <f>IFERROR(IF(AND(Nutrients_from_wastewater!$B$5&lt;DATE(2025,1,1),OR((VLOOKUP(Nutrients_from_wastewater!$B$9,Value_look_up_tables!$A$5:$E$33,2,FALSE))&gt;(VLOOKUP(Nutrients_from_wastewater!$B$9,Value_look_up_tables!$A$5:$E$33,3,FALSE)),(VLOOKUP(Nutrients_from_wastewater!$B$9,Value_look_up_tables!$A$5:$E$33,2,FALSE))&gt;(VLOOKUP(Nutrients_from_wastewater!$B$9,Value_look_up_tables!$A$5:$E$33,3,FALSE)))),"Post-2030 Annual Nutrient Budget","Annual Nutrient Budget"),"")</f>
        <v/>
      </c>
      <c r="B9" s="86"/>
    </row>
    <row r="10" spans="1:4" ht="22.5" customHeight="1">
      <c r="A10" s="35" t="s">
        <v>116</v>
      </c>
      <c r="B10" s="59" t="str">
        <f>IFERROR(IF(ROUND(B8,2)&lt;0,0,ROUND(B8,2)),"")</f>
        <v/>
      </c>
    </row>
    <row r="11" spans="1:4" ht="22.5" customHeight="1">
      <c r="A11" s="58" t="str">
        <f>IF(Nutrients_from_wastewater!A19="","",IF(LEFT(Nutrients_from_wastewater!A19,9)="Pre-2030 ",LEFT(Nutrients_from_wastewater!A19,9),LEFT(Nutrients_from_wastewater!A19,10))&amp;"Nutrient Budget")</f>
        <v/>
      </c>
      <c r="B11" s="86"/>
    </row>
    <row r="12" spans="1:4" ht="22.5" customHeight="1">
      <c r="A12" s="35" t="str">
        <f>IF(A11&lt;&gt;"","The total annual phosphorus load to mitigate is (kg TP/yr):","")</f>
        <v/>
      </c>
      <c r="B12" s="105" t="str">
        <f>IF(IFERROR(ROUND((Nutrients_from_wastewater!B20+$B$6)*1.2,2),"")&lt;0,0,IFERROR(ROUND((Nutrients_from_wastewater!B20+$B$6)*1.2,2),""))</f>
        <v/>
      </c>
    </row>
    <row r="13" spans="1:4" ht="22.5" customHeight="1">
      <c r="A13" s="58" t="str">
        <f>IF(Nutrients_from_wastewater!A21="","",LEFT(Nutrients_from_wastewater!A21,9)&amp;"Nutrient Budget")</f>
        <v/>
      </c>
      <c r="B13" s="86"/>
    </row>
    <row r="14" spans="1:4" ht="22.5" customHeight="1">
      <c r="A14" s="60" t="str">
        <f>IF(A13&lt;&gt;"","The total annual phosphorus load to mitigate is (kg TP/yr):","")</f>
        <v/>
      </c>
      <c r="B14" s="105" t="str">
        <f>IF(IFERROR(IF(Nutrients_from_wastewater!$A$21="","",ROUND((Nutrients_from_wastewater!B22+$B$6)*1.2,2)),IFERROR(B12,""))&lt;0,0,IFERROR(IF(Nutrients_from_wastewater!$A$21="","",ROUND((Nutrients_from_wastewater!B22+$B$6)*1.2,2)),IFERROR(B12,"")))</f>
        <v/>
      </c>
    </row>
    <row r="15" spans="1:4" ht="22.5" customHeight="1">
      <c r="A15" s="61"/>
      <c r="B15" s="39"/>
    </row>
    <row r="16" spans="1:4" ht="15.75">
      <c r="A16" s="61"/>
      <c r="B16" s="39"/>
      <c r="C16" s="43"/>
    </row>
  </sheetData>
  <sheetProtection algorithmName="SHA-512" hashValue="tReijeILjbnz3PtBIZPj0VKJ9pvmwdesdhxP6u+97xrSOlE/NAX/vl6sVyw5n8oId+zkBDfpmfhnHNc/XX6JVw==" saltValue="T14AEOGLubn5Hig/dhMuYQ=="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385"/>
  <sheetViews>
    <sheetView zoomScaleNormal="100" workbookViewId="0">
      <selection activeCell="A3" sqref="A3"/>
    </sheetView>
  </sheetViews>
  <sheetFormatPr defaultColWidth="65.42578125" defaultRowHeight="14.25"/>
  <cols>
    <col min="1" max="1" width="41" style="92" customWidth="1"/>
    <col min="2" max="4" width="15.7109375" style="92" customWidth="1"/>
    <col min="5" max="5" width="25.7109375" style="92" customWidth="1"/>
    <col min="6" max="6" width="79.85546875" style="92" customWidth="1"/>
    <col min="7" max="8" width="15.7109375" style="92" customWidth="1"/>
    <col min="9" max="9" width="25.7109375" style="92" customWidth="1"/>
    <col min="10" max="13" width="15.7109375" style="92" customWidth="1"/>
    <col min="14" max="16384" width="65.42578125" style="92"/>
  </cols>
  <sheetData>
    <row r="1" spans="1:14" s="116" customFormat="1" ht="48" customHeight="1">
      <c r="A1" s="114" t="s">
        <v>11</v>
      </c>
      <c r="B1" s="115"/>
      <c r="C1" s="115"/>
      <c r="D1" s="115"/>
      <c r="E1" s="115"/>
      <c r="F1" s="115"/>
      <c r="G1" s="115"/>
      <c r="H1" s="115"/>
      <c r="I1" s="115"/>
      <c r="J1" s="115"/>
      <c r="K1" s="115"/>
      <c r="L1" s="115"/>
      <c r="M1" s="115"/>
      <c r="N1" s="115"/>
    </row>
    <row r="2" spans="1:14" ht="51.75" customHeight="1">
      <c r="A2" s="99" t="s">
        <v>117</v>
      </c>
    </row>
    <row r="3" spans="1:14" s="116" customFormat="1" ht="37.5" customHeight="1">
      <c r="A3" s="117" t="s">
        <v>118</v>
      </c>
    </row>
    <row r="4" spans="1:14" ht="75.75" customHeight="1">
      <c r="A4" s="25" t="s">
        <v>119</v>
      </c>
      <c r="B4" s="25" t="s">
        <v>120</v>
      </c>
      <c r="C4" s="25" t="s">
        <v>121</v>
      </c>
      <c r="D4" s="25" t="s">
        <v>122</v>
      </c>
      <c r="E4" s="25"/>
      <c r="F4" s="61"/>
      <c r="G4" s="61"/>
      <c r="H4" s="25"/>
      <c r="I4" s="25"/>
      <c r="J4" s="61"/>
      <c r="L4" s="40"/>
      <c r="M4" s="40"/>
    </row>
    <row r="5" spans="1:14">
      <c r="A5" s="40" t="s">
        <v>123</v>
      </c>
      <c r="B5" s="40">
        <v>8</v>
      </c>
      <c r="C5" s="40">
        <v>8</v>
      </c>
      <c r="D5" s="40">
        <v>8</v>
      </c>
      <c r="E5" s="40"/>
      <c r="F5" s="40"/>
      <c r="G5" s="40"/>
      <c r="H5" s="40"/>
      <c r="I5" s="40"/>
      <c r="J5" s="40"/>
      <c r="L5" s="40"/>
      <c r="M5" s="40"/>
    </row>
    <row r="6" spans="1:14">
      <c r="A6" s="40" t="s">
        <v>124</v>
      </c>
      <c r="B6" s="40">
        <v>8</v>
      </c>
      <c r="C6" s="40">
        <v>8</v>
      </c>
      <c r="D6" s="40">
        <v>8</v>
      </c>
      <c r="E6" s="40"/>
      <c r="F6" s="40"/>
      <c r="G6" s="40"/>
      <c r="H6" s="40"/>
      <c r="I6" s="40"/>
      <c r="J6" s="40"/>
      <c r="L6" s="40"/>
      <c r="M6" s="40"/>
    </row>
    <row r="7" spans="1:14">
      <c r="A7" s="40" t="s">
        <v>125</v>
      </c>
      <c r="B7" s="40">
        <v>8</v>
      </c>
      <c r="C7" s="40">
        <v>8</v>
      </c>
      <c r="D7" s="40">
        <v>8</v>
      </c>
      <c r="E7" s="40"/>
      <c r="F7" s="40"/>
      <c r="G7" s="40"/>
      <c r="H7" s="40"/>
      <c r="I7" s="40"/>
      <c r="J7" s="40"/>
      <c r="L7" s="40"/>
      <c r="M7" s="40"/>
    </row>
    <row r="8" spans="1:14">
      <c r="A8" s="40" t="s">
        <v>126</v>
      </c>
      <c r="B8" s="40">
        <v>8</v>
      </c>
      <c r="C8" s="40">
        <v>8</v>
      </c>
      <c r="D8" s="40">
        <v>8</v>
      </c>
      <c r="E8" s="40"/>
      <c r="F8" s="40"/>
      <c r="G8" s="40"/>
      <c r="H8" s="40"/>
      <c r="I8" s="40"/>
      <c r="J8" s="40"/>
      <c r="L8" s="40"/>
      <c r="M8" s="40"/>
    </row>
    <row r="9" spans="1:14">
      <c r="A9" s="40" t="s">
        <v>127</v>
      </c>
      <c r="B9" s="40">
        <v>2.5</v>
      </c>
      <c r="C9" s="40">
        <v>2.5</v>
      </c>
      <c r="D9" s="40">
        <v>0.25</v>
      </c>
      <c r="E9" s="40"/>
      <c r="F9" s="40"/>
      <c r="G9" s="40"/>
      <c r="H9" s="40"/>
      <c r="I9" s="40"/>
      <c r="J9" s="40"/>
      <c r="L9" s="40"/>
      <c r="M9" s="40"/>
    </row>
    <row r="10" spans="1:14">
      <c r="A10" s="40" t="s">
        <v>128</v>
      </c>
      <c r="B10" s="40">
        <v>1</v>
      </c>
      <c r="C10" s="40">
        <v>1</v>
      </c>
      <c r="D10" s="40">
        <v>0.25</v>
      </c>
      <c r="E10" s="40"/>
      <c r="F10" s="40"/>
      <c r="G10" s="40"/>
      <c r="H10" s="40"/>
      <c r="I10" s="40"/>
      <c r="J10" s="40"/>
      <c r="L10" s="40"/>
      <c r="M10" s="40"/>
    </row>
    <row r="11" spans="1:14">
      <c r="A11" s="40" t="s">
        <v>129</v>
      </c>
      <c r="B11" s="40">
        <v>8</v>
      </c>
      <c r="C11" s="40">
        <v>8</v>
      </c>
      <c r="D11" s="40">
        <v>8</v>
      </c>
      <c r="E11" s="40"/>
      <c r="F11" s="40"/>
      <c r="G11" s="40"/>
      <c r="H11" s="40"/>
      <c r="I11" s="40"/>
      <c r="J11" s="40"/>
      <c r="L11" s="40"/>
      <c r="M11" s="40"/>
    </row>
    <row r="12" spans="1:14">
      <c r="A12" s="40" t="s">
        <v>130</v>
      </c>
      <c r="B12" s="40">
        <v>1</v>
      </c>
      <c r="C12" s="40">
        <v>1</v>
      </c>
      <c r="D12" s="40">
        <v>0.25</v>
      </c>
      <c r="E12" s="40"/>
      <c r="F12" s="40"/>
      <c r="G12" s="40"/>
      <c r="H12" s="40"/>
      <c r="I12" s="40"/>
      <c r="J12" s="40"/>
      <c r="L12" s="40"/>
      <c r="M12" s="40"/>
    </row>
    <row r="13" spans="1:14">
      <c r="A13" s="40" t="s">
        <v>131</v>
      </c>
      <c r="B13" s="40">
        <v>1</v>
      </c>
      <c r="C13" s="40">
        <v>1</v>
      </c>
      <c r="D13" s="40">
        <v>1</v>
      </c>
      <c r="E13" s="40"/>
      <c r="F13" s="40"/>
      <c r="G13" s="40"/>
      <c r="H13" s="40"/>
      <c r="I13" s="40"/>
      <c r="J13" s="40"/>
      <c r="L13" s="40"/>
      <c r="M13" s="40"/>
    </row>
    <row r="14" spans="1:14">
      <c r="A14" s="40" t="s">
        <v>132</v>
      </c>
      <c r="B14" s="40">
        <v>8</v>
      </c>
      <c r="C14" s="40">
        <v>8</v>
      </c>
      <c r="D14" s="40">
        <v>8</v>
      </c>
      <c r="E14" s="40"/>
      <c r="F14" s="40"/>
      <c r="G14" s="40"/>
      <c r="H14" s="40"/>
      <c r="I14" s="40"/>
      <c r="J14" s="40"/>
      <c r="L14" s="40"/>
      <c r="M14" s="40"/>
    </row>
    <row r="15" spans="1:14">
      <c r="A15" s="40" t="s">
        <v>133</v>
      </c>
      <c r="B15" s="40">
        <v>8</v>
      </c>
      <c r="C15" s="40">
        <v>8</v>
      </c>
      <c r="D15" s="40">
        <v>8</v>
      </c>
      <c r="E15" s="40"/>
      <c r="F15" s="40"/>
      <c r="G15" s="40"/>
      <c r="H15" s="40"/>
      <c r="I15" s="40"/>
      <c r="J15" s="40"/>
      <c r="L15" s="40"/>
      <c r="M15" s="40"/>
    </row>
    <row r="16" spans="1:14">
      <c r="A16" s="40" t="s">
        <v>134</v>
      </c>
      <c r="B16" s="40">
        <v>8</v>
      </c>
      <c r="C16" s="40">
        <v>8</v>
      </c>
      <c r="D16" s="40">
        <v>8</v>
      </c>
      <c r="E16" s="40"/>
      <c r="F16" s="40"/>
      <c r="G16" s="40"/>
      <c r="H16" s="40"/>
      <c r="I16" s="40"/>
      <c r="J16" s="40"/>
      <c r="L16" s="40"/>
      <c r="M16" s="40"/>
    </row>
    <row r="17" spans="1:13">
      <c r="A17" s="40" t="s">
        <v>135</v>
      </c>
      <c r="B17" s="40">
        <v>8</v>
      </c>
      <c r="C17" s="40">
        <v>8</v>
      </c>
      <c r="D17" s="40">
        <v>8</v>
      </c>
      <c r="E17" s="40"/>
      <c r="F17" s="40"/>
      <c r="G17" s="40"/>
      <c r="H17" s="40"/>
      <c r="I17" s="40"/>
      <c r="J17" s="40"/>
      <c r="L17" s="40"/>
      <c r="M17" s="40"/>
    </row>
    <row r="18" spans="1:13">
      <c r="A18" s="40" t="s">
        <v>136</v>
      </c>
      <c r="B18" s="40">
        <v>1</v>
      </c>
      <c r="C18" s="40">
        <v>1</v>
      </c>
      <c r="D18" s="40">
        <v>1</v>
      </c>
      <c r="E18" s="40"/>
      <c r="F18" s="40"/>
      <c r="G18" s="40"/>
      <c r="H18" s="40"/>
      <c r="I18" s="40"/>
      <c r="J18" s="40"/>
      <c r="L18" s="40"/>
      <c r="M18" s="40"/>
    </row>
    <row r="19" spans="1:13">
      <c r="A19" s="40" t="s">
        <v>137</v>
      </c>
      <c r="B19" s="40">
        <v>1</v>
      </c>
      <c r="C19" s="40">
        <v>1</v>
      </c>
      <c r="D19" s="40">
        <v>0.25</v>
      </c>
      <c r="E19" s="40"/>
      <c r="F19" s="40"/>
      <c r="G19" s="40"/>
      <c r="H19" s="40"/>
      <c r="I19" s="40"/>
      <c r="J19" s="40"/>
      <c r="L19" s="40"/>
      <c r="M19" s="40"/>
    </row>
    <row r="20" spans="1:13">
      <c r="A20" s="40" t="s">
        <v>138</v>
      </c>
      <c r="B20" s="40">
        <v>1</v>
      </c>
      <c r="C20" s="40">
        <v>1</v>
      </c>
      <c r="D20" s="40">
        <v>1</v>
      </c>
      <c r="E20" s="40"/>
      <c r="F20" s="40"/>
      <c r="G20" s="40"/>
      <c r="H20" s="40"/>
      <c r="I20" s="40"/>
      <c r="J20" s="40"/>
      <c r="L20" s="40"/>
      <c r="M20" s="40"/>
    </row>
    <row r="21" spans="1:13">
      <c r="A21" s="40" t="s">
        <v>139</v>
      </c>
      <c r="B21" s="40">
        <v>8</v>
      </c>
      <c r="C21" s="40">
        <v>8</v>
      </c>
      <c r="D21" s="40">
        <v>8</v>
      </c>
      <c r="E21" s="40"/>
      <c r="F21" s="40"/>
      <c r="G21" s="40"/>
      <c r="H21" s="40"/>
      <c r="I21" s="40"/>
      <c r="J21" s="40"/>
      <c r="L21" s="40"/>
      <c r="M21" s="40"/>
    </row>
    <row r="22" spans="1:13">
      <c r="A22" s="40" t="s">
        <v>140</v>
      </c>
      <c r="B22" s="40">
        <v>8</v>
      </c>
      <c r="C22" s="40">
        <v>8</v>
      </c>
      <c r="D22" s="40">
        <v>8</v>
      </c>
      <c r="E22" s="40"/>
      <c r="F22" s="40"/>
      <c r="G22" s="40"/>
      <c r="H22" s="40"/>
      <c r="I22" s="40"/>
      <c r="J22" s="40"/>
      <c r="L22" s="40"/>
      <c r="M22" s="40"/>
    </row>
    <row r="23" spans="1:13">
      <c r="A23" s="40" t="s">
        <v>141</v>
      </c>
      <c r="B23" s="40">
        <v>8</v>
      </c>
      <c r="C23" s="40">
        <v>8</v>
      </c>
      <c r="D23" s="40">
        <v>8</v>
      </c>
      <c r="E23" s="40"/>
      <c r="F23" s="40"/>
      <c r="G23" s="40"/>
      <c r="H23" s="40"/>
      <c r="I23" s="40"/>
      <c r="J23" s="40"/>
      <c r="L23" s="40"/>
      <c r="M23" s="40"/>
    </row>
    <row r="24" spans="1:13">
      <c r="A24" s="40" t="s">
        <v>142</v>
      </c>
      <c r="B24" s="40">
        <v>8</v>
      </c>
      <c r="C24" s="40">
        <v>8</v>
      </c>
      <c r="D24" s="40">
        <v>8</v>
      </c>
      <c r="E24" s="40"/>
      <c r="F24" s="40"/>
      <c r="G24" s="40"/>
      <c r="H24" s="40"/>
      <c r="I24" s="40"/>
      <c r="J24" s="40"/>
      <c r="L24" s="40"/>
      <c r="M24" s="40"/>
    </row>
    <row r="25" spans="1:13">
      <c r="A25" s="40" t="s">
        <v>143</v>
      </c>
      <c r="B25" s="40">
        <v>8</v>
      </c>
      <c r="C25" s="40">
        <v>8</v>
      </c>
      <c r="D25" s="40">
        <v>8</v>
      </c>
      <c r="E25" s="40"/>
      <c r="F25" s="40"/>
      <c r="G25" s="40"/>
      <c r="H25" s="40"/>
      <c r="I25" s="40"/>
      <c r="J25" s="40"/>
      <c r="L25" s="40"/>
      <c r="M25" s="40"/>
    </row>
    <row r="26" spans="1:13">
      <c r="A26" s="40" t="s">
        <v>144</v>
      </c>
      <c r="B26" s="40">
        <v>2</v>
      </c>
      <c r="C26" s="40">
        <v>2</v>
      </c>
      <c r="D26" s="40">
        <v>2</v>
      </c>
      <c r="E26" s="40"/>
      <c r="F26" s="40"/>
      <c r="G26" s="40"/>
      <c r="H26" s="40"/>
      <c r="I26" s="40"/>
      <c r="J26" s="40"/>
      <c r="L26" s="40"/>
      <c r="M26" s="40"/>
    </row>
    <row r="27" spans="1:13">
      <c r="A27" s="40" t="s">
        <v>145</v>
      </c>
      <c r="B27" s="40">
        <v>8</v>
      </c>
      <c r="C27" s="40">
        <v>8</v>
      </c>
      <c r="D27" s="40">
        <v>8</v>
      </c>
      <c r="E27" s="40"/>
      <c r="F27" s="40"/>
      <c r="G27" s="40"/>
      <c r="H27" s="40"/>
      <c r="I27" s="40"/>
      <c r="J27" s="40"/>
      <c r="L27" s="40"/>
      <c r="M27" s="40"/>
    </row>
    <row r="28" spans="1:13">
      <c r="A28" s="40" t="s">
        <v>146</v>
      </c>
      <c r="B28" s="40">
        <v>8</v>
      </c>
      <c r="C28" s="40">
        <v>8</v>
      </c>
      <c r="D28" s="40">
        <v>8</v>
      </c>
      <c r="E28" s="40"/>
      <c r="F28" s="40"/>
      <c r="G28" s="40"/>
      <c r="H28" s="40"/>
      <c r="I28" s="40"/>
      <c r="J28" s="40"/>
      <c r="L28" s="40"/>
      <c r="M28" s="40"/>
    </row>
    <row r="29" spans="1:13">
      <c r="A29" s="40" t="s">
        <v>147</v>
      </c>
      <c r="B29" s="40">
        <v>8</v>
      </c>
      <c r="C29" s="40">
        <v>8</v>
      </c>
      <c r="D29" s="40">
        <v>8</v>
      </c>
      <c r="E29" s="40"/>
      <c r="F29" s="40"/>
      <c r="G29" s="40"/>
      <c r="H29" s="40"/>
      <c r="I29" s="40"/>
      <c r="J29" s="40"/>
      <c r="L29" s="40"/>
      <c r="M29" s="40"/>
    </row>
    <row r="30" spans="1:13">
      <c r="A30" s="40" t="s">
        <v>148</v>
      </c>
      <c r="B30" s="40">
        <v>8</v>
      </c>
      <c r="C30" s="40">
        <v>8</v>
      </c>
      <c r="D30" s="40">
        <v>8</v>
      </c>
      <c r="E30" s="40"/>
      <c r="F30" s="40"/>
      <c r="G30" s="40"/>
      <c r="H30" s="40"/>
      <c r="I30" s="40"/>
      <c r="J30" s="40"/>
      <c r="L30" s="40"/>
      <c r="M30" s="40"/>
    </row>
    <row r="31" spans="1:13">
      <c r="A31" s="40" t="s">
        <v>149</v>
      </c>
      <c r="B31" s="40">
        <v>8</v>
      </c>
      <c r="C31" s="40">
        <v>8</v>
      </c>
      <c r="D31" s="40">
        <v>8</v>
      </c>
      <c r="E31" s="40"/>
      <c r="F31" s="40"/>
      <c r="G31" s="40"/>
      <c r="H31" s="40"/>
      <c r="I31" s="40"/>
      <c r="J31" s="40"/>
      <c r="L31" s="40"/>
      <c r="M31" s="40"/>
    </row>
    <row r="32" spans="1:13">
      <c r="A32" s="40" t="s">
        <v>150</v>
      </c>
      <c r="B32" s="40">
        <v>9.6999999999999993</v>
      </c>
      <c r="C32" s="40">
        <v>9.6999999999999993</v>
      </c>
      <c r="D32" s="40">
        <v>9.6999999999999993</v>
      </c>
      <c r="E32" s="40"/>
      <c r="F32" s="40"/>
      <c r="G32" s="40"/>
      <c r="H32" s="40"/>
      <c r="I32" s="40"/>
      <c r="J32" s="40"/>
      <c r="L32" s="40"/>
      <c r="M32" s="40"/>
    </row>
    <row r="33" spans="1:13">
      <c r="A33" s="40" t="s">
        <v>151</v>
      </c>
      <c r="B33" s="40">
        <v>11.6</v>
      </c>
      <c r="C33" s="40">
        <v>11.6</v>
      </c>
      <c r="D33" s="40">
        <v>11.6</v>
      </c>
      <c r="E33" s="40"/>
      <c r="F33" s="40"/>
      <c r="G33" s="40"/>
      <c r="H33" s="40"/>
      <c r="I33" s="40"/>
      <c r="J33" s="40"/>
      <c r="L33" s="40"/>
      <c r="M33" s="40"/>
    </row>
    <row r="34" spans="1:13">
      <c r="A34" s="40" t="s">
        <v>152</v>
      </c>
      <c r="B34" s="40"/>
      <c r="C34" s="40"/>
      <c r="D34" s="40"/>
      <c r="E34" s="40"/>
      <c r="F34" s="40"/>
      <c r="G34" s="40"/>
      <c r="H34" s="40"/>
      <c r="I34" s="40"/>
      <c r="J34" s="40"/>
      <c r="L34" s="40"/>
      <c r="M34" s="40"/>
    </row>
    <row r="35" spans="1:13">
      <c r="A35" s="40" t="s">
        <v>153</v>
      </c>
      <c r="B35" s="40"/>
      <c r="C35" s="40"/>
      <c r="D35" s="40"/>
      <c r="E35" s="40"/>
      <c r="F35" s="40"/>
      <c r="G35" s="40"/>
      <c r="H35" s="40"/>
      <c r="I35" s="40"/>
      <c r="J35" s="40"/>
      <c r="L35" s="40"/>
      <c r="M35" s="40"/>
    </row>
    <row r="36" spans="1:13">
      <c r="A36" s="40"/>
      <c r="B36" s="40"/>
      <c r="C36" s="40"/>
      <c r="D36" s="40"/>
      <c r="E36" s="40"/>
      <c r="F36" s="40"/>
      <c r="G36" s="40"/>
      <c r="H36" s="40"/>
      <c r="I36" s="40"/>
      <c r="J36" s="40"/>
      <c r="K36" s="40"/>
      <c r="L36" s="40"/>
      <c r="M36" s="40"/>
    </row>
    <row r="37" spans="1:13" s="116" customFormat="1" ht="37.5" customHeight="1">
      <c r="A37" s="117" t="s">
        <v>154</v>
      </c>
      <c r="B37" s="78"/>
      <c r="C37" s="78"/>
      <c r="D37" s="78"/>
      <c r="E37" s="78"/>
      <c r="F37" s="78"/>
      <c r="G37" s="78"/>
      <c r="H37" s="78"/>
      <c r="I37" s="78"/>
      <c r="J37" s="78"/>
      <c r="K37" s="78"/>
      <c r="L37" s="78"/>
      <c r="M37" s="78"/>
    </row>
    <row r="38" spans="1:13" ht="75">
      <c r="A38" s="25" t="s">
        <v>155</v>
      </c>
      <c r="B38" s="25" t="s">
        <v>156</v>
      </c>
      <c r="C38" s="25" t="s">
        <v>157</v>
      </c>
      <c r="D38" s="25" t="s">
        <v>158</v>
      </c>
      <c r="E38" s="25" t="s">
        <v>159</v>
      </c>
      <c r="F38" s="25" t="s">
        <v>160</v>
      </c>
      <c r="G38" s="25" t="s">
        <v>161</v>
      </c>
      <c r="H38" s="25" t="s">
        <v>162</v>
      </c>
      <c r="I38" s="25" t="s">
        <v>163</v>
      </c>
      <c r="J38" s="25" t="s">
        <v>164</v>
      </c>
      <c r="K38" s="25" t="s">
        <v>165</v>
      </c>
      <c r="L38" s="25" t="s">
        <v>166</v>
      </c>
      <c r="M38" s="25" t="s">
        <v>167</v>
      </c>
    </row>
    <row r="39" spans="1:13">
      <c r="A39" s="93" t="s">
        <v>168</v>
      </c>
      <c r="B39" s="93" t="s">
        <v>169</v>
      </c>
      <c r="C39" s="93" t="b">
        <v>0</v>
      </c>
      <c r="D39" s="93" t="s">
        <v>170</v>
      </c>
      <c r="E39" s="93" t="s">
        <v>171</v>
      </c>
      <c r="F39" s="40" t="s">
        <v>172</v>
      </c>
      <c r="G39" s="94"/>
      <c r="H39" s="94">
        <v>5.4275224678316372E-2</v>
      </c>
      <c r="I39" s="40" t="s">
        <v>173</v>
      </c>
      <c r="J39" s="40"/>
      <c r="K39" s="94">
        <v>0.31755620153666669</v>
      </c>
      <c r="L39" s="40"/>
      <c r="M39" s="94">
        <v>0.46938250797558506</v>
      </c>
    </row>
    <row r="40" spans="1:13">
      <c r="A40" s="93" t="s">
        <v>168</v>
      </c>
      <c r="B40" s="93" t="s">
        <v>169</v>
      </c>
      <c r="C40" s="93" t="b">
        <v>1</v>
      </c>
      <c r="D40" s="93" t="s">
        <v>170</v>
      </c>
      <c r="E40" s="93" t="s">
        <v>171</v>
      </c>
      <c r="F40" s="40" t="s">
        <v>174</v>
      </c>
      <c r="G40" s="94"/>
      <c r="H40" s="94">
        <v>5.4270943193136953E-2</v>
      </c>
      <c r="I40" s="40" t="s">
        <v>173</v>
      </c>
      <c r="J40" s="40"/>
      <c r="K40" s="94"/>
      <c r="L40" s="40"/>
      <c r="M40" s="94"/>
    </row>
    <row r="41" spans="1:13">
      <c r="A41" s="93" t="s">
        <v>168</v>
      </c>
      <c r="B41" s="93" t="s">
        <v>169</v>
      </c>
      <c r="C41" s="93" t="b">
        <v>0</v>
      </c>
      <c r="D41" s="93" t="s">
        <v>170</v>
      </c>
      <c r="E41" s="93" t="s">
        <v>175</v>
      </c>
      <c r="F41" s="40" t="s">
        <v>176</v>
      </c>
      <c r="G41" s="94"/>
      <c r="H41" s="94">
        <v>0.33983727969969041</v>
      </c>
      <c r="I41" s="40" t="s">
        <v>173</v>
      </c>
      <c r="J41" s="40"/>
      <c r="K41" s="94"/>
      <c r="L41" s="40"/>
      <c r="M41" s="94"/>
    </row>
    <row r="42" spans="1:13">
      <c r="A42" s="93" t="s">
        <v>168</v>
      </c>
      <c r="B42" s="93" t="s">
        <v>169</v>
      </c>
      <c r="C42" s="93" t="b">
        <v>1</v>
      </c>
      <c r="D42" s="93" t="s">
        <v>170</v>
      </c>
      <c r="E42" s="93" t="s">
        <v>175</v>
      </c>
      <c r="F42" s="40" t="s">
        <v>177</v>
      </c>
      <c r="G42" s="94"/>
      <c r="H42" s="94">
        <v>0.33980060996948158</v>
      </c>
      <c r="I42" s="40" t="s">
        <v>173</v>
      </c>
      <c r="J42" s="40"/>
      <c r="K42" s="94"/>
      <c r="L42" s="40"/>
      <c r="M42" s="94"/>
    </row>
    <row r="43" spans="1:13">
      <c r="A43" s="93" t="s">
        <v>168</v>
      </c>
      <c r="B43" s="93" t="s">
        <v>169</v>
      </c>
      <c r="C43" s="93" t="b">
        <v>0</v>
      </c>
      <c r="D43" s="93" t="s">
        <v>170</v>
      </c>
      <c r="E43" s="93" t="s">
        <v>178</v>
      </c>
      <c r="F43" s="40" t="s">
        <v>179</v>
      </c>
      <c r="G43" s="94"/>
      <c r="H43" s="94">
        <v>0.55855610023199342</v>
      </c>
      <c r="I43" s="40" t="s">
        <v>173</v>
      </c>
      <c r="J43" s="40"/>
      <c r="K43" s="94"/>
      <c r="L43" s="40"/>
      <c r="M43" s="94"/>
    </row>
    <row r="44" spans="1:13">
      <c r="A44" s="93" t="s">
        <v>168</v>
      </c>
      <c r="B44" s="93" t="s">
        <v>169</v>
      </c>
      <c r="C44" s="93" t="b">
        <v>1</v>
      </c>
      <c r="D44" s="93" t="s">
        <v>170</v>
      </c>
      <c r="E44" s="93" t="s">
        <v>178</v>
      </c>
      <c r="F44" s="40" t="s">
        <v>180</v>
      </c>
      <c r="G44" s="94"/>
      <c r="H44" s="94">
        <v>0.55848487909082245</v>
      </c>
      <c r="I44" s="40" t="s">
        <v>173</v>
      </c>
      <c r="J44" s="40"/>
      <c r="K44" s="94"/>
      <c r="L44" s="40"/>
      <c r="M44" s="94"/>
    </row>
    <row r="45" spans="1:13">
      <c r="A45" s="93" t="s">
        <v>168</v>
      </c>
      <c r="B45" s="93" t="s">
        <v>169</v>
      </c>
      <c r="C45" s="93" t="b">
        <v>0</v>
      </c>
      <c r="D45" s="93" t="s">
        <v>181</v>
      </c>
      <c r="E45" s="93" t="s">
        <v>171</v>
      </c>
      <c r="F45" s="40" t="s">
        <v>182</v>
      </c>
      <c r="G45" s="94"/>
      <c r="H45" s="94">
        <v>0.15077281689068139</v>
      </c>
      <c r="I45" s="40" t="s">
        <v>183</v>
      </c>
      <c r="J45" s="40"/>
      <c r="K45" s="94">
        <v>0.62125182505808785</v>
      </c>
      <c r="L45" s="40"/>
      <c r="M45" s="94"/>
    </row>
    <row r="46" spans="1:13">
      <c r="A46" s="93" t="s">
        <v>168</v>
      </c>
      <c r="B46" s="93" t="s">
        <v>169</v>
      </c>
      <c r="C46" s="93" t="b">
        <v>1</v>
      </c>
      <c r="D46" s="93" t="s">
        <v>181</v>
      </c>
      <c r="E46" s="93" t="s">
        <v>171</v>
      </c>
      <c r="F46" s="40" t="s">
        <v>184</v>
      </c>
      <c r="G46" s="94"/>
      <c r="H46" s="94">
        <v>0.15076495916421234</v>
      </c>
      <c r="I46" s="40" t="s">
        <v>183</v>
      </c>
      <c r="J46" s="40"/>
      <c r="K46" s="94"/>
      <c r="L46" s="40"/>
      <c r="M46" s="94"/>
    </row>
    <row r="47" spans="1:13">
      <c r="A47" s="93" t="s">
        <v>168</v>
      </c>
      <c r="B47" s="93" t="s">
        <v>169</v>
      </c>
      <c r="C47" s="93" t="b">
        <v>0</v>
      </c>
      <c r="D47" s="93" t="s">
        <v>181</v>
      </c>
      <c r="E47" s="93" t="s">
        <v>175</v>
      </c>
      <c r="F47" s="40" t="s">
        <v>185</v>
      </c>
      <c r="G47" s="94"/>
      <c r="H47" s="94">
        <v>0.73068781592629695</v>
      </c>
      <c r="I47" s="40" t="s">
        <v>183</v>
      </c>
      <c r="J47" s="40"/>
      <c r="K47" s="94"/>
      <c r="L47" s="40"/>
      <c r="M47" s="94"/>
    </row>
    <row r="48" spans="1:13">
      <c r="A48" s="93" t="s">
        <v>168</v>
      </c>
      <c r="B48" s="93" t="s">
        <v>169</v>
      </c>
      <c r="C48" s="93" t="b">
        <v>1</v>
      </c>
      <c r="D48" s="93" t="s">
        <v>181</v>
      </c>
      <c r="E48" s="93" t="s">
        <v>175</v>
      </c>
      <c r="F48" s="40" t="s">
        <v>186</v>
      </c>
      <c r="G48" s="94"/>
      <c r="H48" s="94">
        <v>0.73064001773825338</v>
      </c>
      <c r="I48" s="40" t="s">
        <v>183</v>
      </c>
      <c r="J48" s="40"/>
      <c r="K48" s="94"/>
      <c r="L48" s="40"/>
      <c r="M48" s="94"/>
    </row>
    <row r="49" spans="1:14">
      <c r="A49" s="93" t="s">
        <v>168</v>
      </c>
      <c r="B49" s="93" t="s">
        <v>169</v>
      </c>
      <c r="C49" s="93" t="b">
        <v>0</v>
      </c>
      <c r="D49" s="93" t="s">
        <v>181</v>
      </c>
      <c r="E49" s="93" t="s">
        <v>178</v>
      </c>
      <c r="F49" s="40" t="s">
        <v>187</v>
      </c>
      <c r="G49" s="94"/>
      <c r="H49" s="94">
        <v>0.98229484235728526</v>
      </c>
      <c r="I49" s="40" t="s">
        <v>183</v>
      </c>
      <c r="J49" s="40"/>
      <c r="K49" s="94"/>
      <c r="L49" s="40"/>
      <c r="M49" s="94"/>
    </row>
    <row r="50" spans="1:14">
      <c r="A50" s="93" t="s">
        <v>168</v>
      </c>
      <c r="B50" s="93" t="s">
        <v>169</v>
      </c>
      <c r="C50" s="93" t="b">
        <v>1</v>
      </c>
      <c r="D50" s="93" t="s">
        <v>181</v>
      </c>
      <c r="E50" s="93" t="s">
        <v>178</v>
      </c>
      <c r="F50" s="40" t="s">
        <v>188</v>
      </c>
      <c r="G50" s="94"/>
      <c r="H50" s="94">
        <v>0.98220460676685017</v>
      </c>
      <c r="I50" s="40" t="s">
        <v>183</v>
      </c>
      <c r="J50" s="40"/>
      <c r="K50" s="94"/>
      <c r="L50" s="40"/>
      <c r="M50" s="94"/>
    </row>
    <row r="51" spans="1:14">
      <c r="A51" s="93" t="s">
        <v>168</v>
      </c>
      <c r="B51" s="93" t="s">
        <v>189</v>
      </c>
      <c r="C51" s="93" t="b">
        <v>0</v>
      </c>
      <c r="D51" s="93" t="s">
        <v>170</v>
      </c>
      <c r="E51" s="93" t="s">
        <v>171</v>
      </c>
      <c r="F51" s="40" t="s">
        <v>190</v>
      </c>
      <c r="G51" s="94"/>
      <c r="H51" s="94">
        <v>4.9750480326866631E-2</v>
      </c>
      <c r="I51" s="40" t="s">
        <v>191</v>
      </c>
      <c r="J51" s="40"/>
      <c r="K51" s="94">
        <v>0.29543093974464574</v>
      </c>
      <c r="L51" s="40"/>
      <c r="M51" s="94">
        <v>0.41821379497198558</v>
      </c>
    </row>
    <row r="52" spans="1:14">
      <c r="A52" s="93" t="s">
        <v>168</v>
      </c>
      <c r="B52" s="93" t="s">
        <v>189</v>
      </c>
      <c r="C52" s="93" t="b">
        <v>1</v>
      </c>
      <c r="D52" s="93" t="s">
        <v>170</v>
      </c>
      <c r="E52" s="93" t="s">
        <v>171</v>
      </c>
      <c r="F52" s="40" t="s">
        <v>192</v>
      </c>
      <c r="G52" s="94"/>
      <c r="H52" s="94">
        <v>4.9750480326866631E-2</v>
      </c>
      <c r="I52" s="40" t="s">
        <v>191</v>
      </c>
      <c r="J52" s="40"/>
      <c r="K52" s="94"/>
      <c r="L52" s="40"/>
      <c r="M52" s="94"/>
    </row>
    <row r="53" spans="1:14">
      <c r="A53" s="93" t="s">
        <v>168</v>
      </c>
      <c r="B53" s="93" t="s">
        <v>189</v>
      </c>
      <c r="C53" s="93" t="b">
        <v>0</v>
      </c>
      <c r="D53" s="93" t="s">
        <v>170</v>
      </c>
      <c r="E53" s="93" t="s">
        <v>175</v>
      </c>
      <c r="F53" s="40" t="s">
        <v>193</v>
      </c>
      <c r="G53" s="94"/>
      <c r="H53" s="94">
        <v>0.30983394285335975</v>
      </c>
      <c r="I53" s="40" t="s">
        <v>191</v>
      </c>
      <c r="J53" s="40"/>
      <c r="K53" s="94"/>
      <c r="L53" s="40"/>
      <c r="M53" s="94"/>
    </row>
    <row r="54" spans="1:14">
      <c r="A54" s="93" t="s">
        <v>168</v>
      </c>
      <c r="B54" s="93" t="s">
        <v>189</v>
      </c>
      <c r="C54" s="93" t="b">
        <v>1</v>
      </c>
      <c r="D54" s="93" t="s">
        <v>170</v>
      </c>
      <c r="E54" s="93" t="s">
        <v>175</v>
      </c>
      <c r="F54" s="40" t="s">
        <v>194</v>
      </c>
      <c r="G54" s="94"/>
      <c r="H54" s="94">
        <v>0.30983394285335975</v>
      </c>
      <c r="I54" s="40" t="s">
        <v>191</v>
      </c>
      <c r="J54" s="40"/>
      <c r="K54" s="94"/>
      <c r="L54" s="40"/>
      <c r="M54" s="94"/>
    </row>
    <row r="55" spans="1:14">
      <c r="A55" s="93" t="s">
        <v>168</v>
      </c>
      <c r="B55" s="93" t="s">
        <v>189</v>
      </c>
      <c r="C55" s="93" t="b">
        <v>1</v>
      </c>
      <c r="D55" s="93" t="s">
        <v>170</v>
      </c>
      <c r="E55" s="93" t="s">
        <v>178</v>
      </c>
      <c r="F55" s="40" t="s">
        <v>195</v>
      </c>
      <c r="G55" s="94"/>
      <c r="H55" s="94">
        <v>0.52670839605371089</v>
      </c>
      <c r="I55" s="40" t="s">
        <v>191</v>
      </c>
      <c r="J55" s="40"/>
      <c r="K55" s="94"/>
      <c r="L55" s="40"/>
      <c r="M55" s="94"/>
    </row>
    <row r="56" spans="1:14">
      <c r="A56" s="93" t="s">
        <v>168</v>
      </c>
      <c r="B56" s="93" t="s">
        <v>189</v>
      </c>
      <c r="C56" s="93" t="b">
        <v>0</v>
      </c>
      <c r="D56" s="93" t="s">
        <v>181</v>
      </c>
      <c r="E56" s="93" t="s">
        <v>171</v>
      </c>
      <c r="F56" s="40" t="s">
        <v>196</v>
      </c>
      <c r="G56" s="94"/>
      <c r="H56" s="94">
        <v>0.134776641075538</v>
      </c>
      <c r="I56" s="40" t="s">
        <v>197</v>
      </c>
      <c r="J56" s="40"/>
      <c r="K56" s="94">
        <v>0.55907908371294623</v>
      </c>
      <c r="L56" s="40"/>
      <c r="M56" s="94"/>
    </row>
    <row r="57" spans="1:14">
      <c r="A57" s="93" t="s">
        <v>168</v>
      </c>
      <c r="B57" s="93" t="s">
        <v>189</v>
      </c>
      <c r="C57" s="93" t="b">
        <v>1</v>
      </c>
      <c r="D57" s="93" t="s">
        <v>181</v>
      </c>
      <c r="E57" s="93" t="s">
        <v>171</v>
      </c>
      <c r="F57" s="40" t="s">
        <v>198</v>
      </c>
      <c r="G57" s="94"/>
      <c r="H57" s="94">
        <v>0.134776641075538</v>
      </c>
      <c r="I57" s="40" t="s">
        <v>197</v>
      </c>
      <c r="J57" s="40"/>
      <c r="K57" s="94"/>
      <c r="L57" s="40"/>
      <c r="M57" s="94"/>
      <c r="N57" s="40"/>
    </row>
    <row r="58" spans="1:14">
      <c r="A58" s="93" t="s">
        <v>168</v>
      </c>
      <c r="B58" s="93" t="s">
        <v>189</v>
      </c>
      <c r="C58" s="93" t="b">
        <v>0</v>
      </c>
      <c r="D58" s="93" t="s">
        <v>181</v>
      </c>
      <c r="E58" s="93" t="s">
        <v>175</v>
      </c>
      <c r="F58" s="40" t="s">
        <v>199</v>
      </c>
      <c r="G58" s="94"/>
      <c r="H58" s="94">
        <v>0.64354905523717454</v>
      </c>
      <c r="I58" s="40" t="s">
        <v>197</v>
      </c>
      <c r="J58" s="40"/>
      <c r="K58" s="94"/>
      <c r="L58" s="40"/>
      <c r="M58" s="94"/>
      <c r="N58" s="40"/>
    </row>
    <row r="59" spans="1:14">
      <c r="A59" s="93" t="s">
        <v>168</v>
      </c>
      <c r="B59" s="93" t="s">
        <v>189</v>
      </c>
      <c r="C59" s="93" t="b">
        <v>1</v>
      </c>
      <c r="D59" s="93" t="s">
        <v>181</v>
      </c>
      <c r="E59" s="93" t="s">
        <v>175</v>
      </c>
      <c r="F59" s="40" t="s">
        <v>200</v>
      </c>
      <c r="G59" s="94"/>
      <c r="H59" s="94">
        <v>0.64354905523717454</v>
      </c>
      <c r="I59" s="40" t="s">
        <v>197</v>
      </c>
      <c r="J59" s="40"/>
      <c r="K59" s="94"/>
      <c r="L59" s="40"/>
      <c r="M59" s="94"/>
      <c r="N59" s="40"/>
    </row>
    <row r="60" spans="1:14">
      <c r="A60" s="93" t="s">
        <v>168</v>
      </c>
      <c r="B60" s="93" t="s">
        <v>189</v>
      </c>
      <c r="C60" s="93" t="b">
        <v>0</v>
      </c>
      <c r="D60" s="93" t="s">
        <v>181</v>
      </c>
      <c r="E60" s="93" t="s">
        <v>178</v>
      </c>
      <c r="F60" s="40" t="s">
        <v>201</v>
      </c>
      <c r="G60" s="94"/>
      <c r="H60" s="94">
        <v>0.89891155482612617</v>
      </c>
      <c r="I60" s="40" t="s">
        <v>197</v>
      </c>
      <c r="J60" s="40"/>
      <c r="K60" s="94"/>
      <c r="L60" s="40"/>
      <c r="M60" s="94"/>
      <c r="N60" s="40"/>
    </row>
    <row r="61" spans="1:14">
      <c r="A61" s="93" t="s">
        <v>168</v>
      </c>
      <c r="B61" s="93" t="s">
        <v>189</v>
      </c>
      <c r="C61" s="93" t="b">
        <v>1</v>
      </c>
      <c r="D61" s="93" t="s">
        <v>181</v>
      </c>
      <c r="E61" s="93" t="s">
        <v>178</v>
      </c>
      <c r="F61" s="40" t="s">
        <v>202</v>
      </c>
      <c r="G61" s="94"/>
      <c r="H61" s="94">
        <v>0.89891155482612617</v>
      </c>
      <c r="I61" s="40" t="s">
        <v>197</v>
      </c>
      <c r="J61" s="40"/>
      <c r="K61" s="94"/>
      <c r="L61" s="40"/>
      <c r="M61" s="94"/>
      <c r="N61" s="40"/>
    </row>
    <row r="62" spans="1:14">
      <c r="A62" s="93" t="s">
        <v>168</v>
      </c>
      <c r="B62" s="93" t="s">
        <v>203</v>
      </c>
      <c r="C62" s="93" t="b">
        <v>0</v>
      </c>
      <c r="D62" s="93" t="s">
        <v>170</v>
      </c>
      <c r="E62" s="93" t="s">
        <v>171</v>
      </c>
      <c r="F62" s="40" t="s">
        <v>204</v>
      </c>
      <c r="G62" s="94"/>
      <c r="H62" s="94">
        <v>5.0748597871126608E-2</v>
      </c>
      <c r="I62" s="40" t="s">
        <v>205</v>
      </c>
      <c r="J62" s="40"/>
      <c r="K62" s="94">
        <v>0.30545818142872022</v>
      </c>
      <c r="L62" s="40"/>
      <c r="M62" s="94">
        <v>0.42192063962557208</v>
      </c>
      <c r="N62" s="40"/>
    </row>
    <row r="63" spans="1:14">
      <c r="A63" s="93" t="s">
        <v>168</v>
      </c>
      <c r="B63" s="93" t="s">
        <v>203</v>
      </c>
      <c r="C63" s="93" t="b">
        <v>0</v>
      </c>
      <c r="D63" s="93" t="s">
        <v>170</v>
      </c>
      <c r="E63" s="93" t="s">
        <v>175</v>
      </c>
      <c r="F63" s="40" t="s">
        <v>206</v>
      </c>
      <c r="G63" s="94"/>
      <c r="H63" s="94">
        <v>0.33287980421812863</v>
      </c>
      <c r="I63" s="40" t="s">
        <v>205</v>
      </c>
      <c r="J63" s="40"/>
      <c r="K63" s="94"/>
      <c r="L63" s="40"/>
      <c r="M63" s="94"/>
      <c r="N63" s="40"/>
    </row>
    <row r="64" spans="1:14">
      <c r="A64" s="93" t="s">
        <v>168</v>
      </c>
      <c r="B64" s="93" t="s">
        <v>203</v>
      </c>
      <c r="C64" s="93" t="b">
        <v>1</v>
      </c>
      <c r="D64" s="93" t="s">
        <v>170</v>
      </c>
      <c r="E64" s="93" t="s">
        <v>175</v>
      </c>
      <c r="F64" s="40" t="s">
        <v>207</v>
      </c>
      <c r="G64" s="94"/>
      <c r="H64" s="94">
        <v>0.33287980421812863</v>
      </c>
      <c r="I64" s="40" t="s">
        <v>205</v>
      </c>
      <c r="J64" s="40"/>
      <c r="K64" s="94"/>
      <c r="L64" s="40"/>
      <c r="M64" s="94"/>
      <c r="N64" s="40"/>
    </row>
    <row r="65" spans="1:14">
      <c r="A65" s="93" t="s">
        <v>168</v>
      </c>
      <c r="B65" s="93" t="s">
        <v>203</v>
      </c>
      <c r="C65" s="93" t="b">
        <v>1</v>
      </c>
      <c r="D65" s="93" t="s">
        <v>181</v>
      </c>
      <c r="E65" s="93" t="s">
        <v>171</v>
      </c>
      <c r="F65" s="40" t="s">
        <v>208</v>
      </c>
      <c r="G65" s="94"/>
      <c r="H65" s="94">
        <v>0.14239662707390396</v>
      </c>
      <c r="I65" s="40" t="s">
        <v>209</v>
      </c>
      <c r="J65" s="40"/>
      <c r="K65" s="94">
        <v>0.60500521048201605</v>
      </c>
      <c r="L65" s="40"/>
      <c r="M65" s="94"/>
      <c r="N65" s="40"/>
    </row>
    <row r="66" spans="1:14">
      <c r="A66" s="93" t="s">
        <v>168</v>
      </c>
      <c r="B66" s="93" t="s">
        <v>203</v>
      </c>
      <c r="C66" s="93" t="b">
        <v>0</v>
      </c>
      <c r="D66" s="93" t="s">
        <v>181</v>
      </c>
      <c r="E66" s="93" t="s">
        <v>175</v>
      </c>
      <c r="F66" s="40" t="s">
        <v>210</v>
      </c>
      <c r="G66" s="94"/>
      <c r="H66" s="94">
        <v>0.70314001550724237</v>
      </c>
      <c r="I66" s="40" t="s">
        <v>209</v>
      </c>
      <c r="J66" s="40"/>
      <c r="K66" s="94"/>
      <c r="L66" s="40"/>
      <c r="M66" s="94"/>
      <c r="N66" s="40"/>
    </row>
    <row r="67" spans="1:14">
      <c r="A67" s="93" t="s">
        <v>168</v>
      </c>
      <c r="B67" s="93" t="s">
        <v>203</v>
      </c>
      <c r="C67" s="93" t="b">
        <v>0</v>
      </c>
      <c r="D67" s="93" t="s">
        <v>181</v>
      </c>
      <c r="E67" s="93" t="s">
        <v>178</v>
      </c>
      <c r="F67" s="40" t="s">
        <v>211</v>
      </c>
      <c r="G67" s="94"/>
      <c r="H67" s="94">
        <v>0.96947898886490191</v>
      </c>
      <c r="I67" s="40" t="s">
        <v>209</v>
      </c>
      <c r="J67" s="40"/>
      <c r="K67" s="94"/>
      <c r="L67" s="40"/>
      <c r="M67" s="94"/>
      <c r="N67" s="40"/>
    </row>
    <row r="68" spans="1:14">
      <c r="A68" s="93" t="s">
        <v>168</v>
      </c>
      <c r="B68" s="93" t="s">
        <v>212</v>
      </c>
      <c r="C68" s="93" t="b">
        <v>0</v>
      </c>
      <c r="D68" s="93" t="s">
        <v>170</v>
      </c>
      <c r="E68" s="93" t="s">
        <v>171</v>
      </c>
      <c r="F68" s="40" t="s">
        <v>213</v>
      </c>
      <c r="G68" s="94"/>
      <c r="H68" s="94">
        <v>7.064427928326375E-2</v>
      </c>
      <c r="I68" s="40" t="s">
        <v>214</v>
      </c>
      <c r="J68" s="40"/>
      <c r="K68" s="94">
        <v>0.34474432435106078</v>
      </c>
      <c r="L68" s="40"/>
      <c r="M68" s="94">
        <v>0.51494476276401546</v>
      </c>
      <c r="N68" s="40"/>
    </row>
    <row r="69" spans="1:14">
      <c r="A69" s="93" t="s">
        <v>168</v>
      </c>
      <c r="B69" s="93" t="s">
        <v>212</v>
      </c>
      <c r="C69" s="93" t="b">
        <v>1</v>
      </c>
      <c r="D69" s="93" t="s">
        <v>170</v>
      </c>
      <c r="E69" s="93" t="s">
        <v>171</v>
      </c>
      <c r="F69" s="40" t="s">
        <v>215</v>
      </c>
      <c r="G69" s="94"/>
      <c r="H69" s="94">
        <v>6.7911430378150575E-2</v>
      </c>
      <c r="I69" s="40" t="s">
        <v>214</v>
      </c>
      <c r="J69" s="40"/>
      <c r="K69" s="94"/>
      <c r="L69" s="40"/>
      <c r="M69" s="94"/>
      <c r="N69" s="40"/>
    </row>
    <row r="70" spans="1:14">
      <c r="A70" s="93" t="s">
        <v>168</v>
      </c>
      <c r="B70" s="93" t="s">
        <v>212</v>
      </c>
      <c r="C70" s="93" t="b">
        <v>0</v>
      </c>
      <c r="D70" s="93" t="s">
        <v>170</v>
      </c>
      <c r="E70" s="93" t="s">
        <v>175</v>
      </c>
      <c r="F70" s="40" t="s">
        <v>216</v>
      </c>
      <c r="G70" s="94"/>
      <c r="H70" s="94">
        <v>0.38257707704246624</v>
      </c>
      <c r="I70" s="40" t="s">
        <v>214</v>
      </c>
      <c r="J70" s="40"/>
      <c r="K70" s="94"/>
      <c r="L70" s="40"/>
      <c r="M70" s="94"/>
      <c r="N70" s="40"/>
    </row>
    <row r="71" spans="1:14">
      <c r="A71" s="93" t="s">
        <v>168</v>
      </c>
      <c r="B71" s="93" t="s">
        <v>212</v>
      </c>
      <c r="C71" s="93" t="b">
        <v>1</v>
      </c>
      <c r="D71" s="93" t="s">
        <v>170</v>
      </c>
      <c r="E71" s="93" t="s">
        <v>175</v>
      </c>
      <c r="F71" s="40" t="s">
        <v>217</v>
      </c>
      <c r="G71" s="94"/>
      <c r="H71" s="94">
        <v>0.35283520887129288</v>
      </c>
      <c r="I71" s="40" t="s">
        <v>214</v>
      </c>
      <c r="J71" s="40"/>
      <c r="K71" s="94"/>
      <c r="L71" s="40"/>
      <c r="M71" s="94"/>
      <c r="N71" s="40"/>
    </row>
    <row r="72" spans="1:14">
      <c r="A72" s="93" t="s">
        <v>168</v>
      </c>
      <c r="B72" s="93" t="s">
        <v>212</v>
      </c>
      <c r="C72" s="93" t="b">
        <v>1</v>
      </c>
      <c r="D72" s="93" t="s">
        <v>170</v>
      </c>
      <c r="E72" s="93" t="s">
        <v>178</v>
      </c>
      <c r="F72" s="40" t="s">
        <v>218</v>
      </c>
      <c r="G72" s="94"/>
      <c r="H72" s="94">
        <v>0.58101161672745227</v>
      </c>
      <c r="I72" s="40" t="s">
        <v>214</v>
      </c>
      <c r="J72" s="40"/>
      <c r="K72" s="94"/>
      <c r="L72" s="40"/>
      <c r="M72" s="94"/>
      <c r="N72" s="40"/>
    </row>
    <row r="73" spans="1:14">
      <c r="A73" s="93" t="s">
        <v>168</v>
      </c>
      <c r="B73" s="93" t="s">
        <v>212</v>
      </c>
      <c r="C73" s="93" t="b">
        <v>1</v>
      </c>
      <c r="D73" s="93" t="s">
        <v>181</v>
      </c>
      <c r="E73" s="93" t="s">
        <v>171</v>
      </c>
      <c r="F73" s="40" t="s">
        <v>219</v>
      </c>
      <c r="G73" s="94"/>
      <c r="H73" s="94">
        <v>0.17227610260462156</v>
      </c>
      <c r="I73" s="40" t="s">
        <v>220</v>
      </c>
      <c r="J73" s="40"/>
      <c r="K73" s="94">
        <v>0.65869599780397448</v>
      </c>
      <c r="L73" s="40"/>
      <c r="M73" s="94"/>
      <c r="N73" s="40"/>
    </row>
    <row r="74" spans="1:14">
      <c r="A74" s="93" t="s">
        <v>168</v>
      </c>
      <c r="B74" s="93" t="s">
        <v>212</v>
      </c>
      <c r="C74" s="93" t="b">
        <v>0</v>
      </c>
      <c r="D74" s="93" t="s">
        <v>181</v>
      </c>
      <c r="E74" s="93" t="s">
        <v>175</v>
      </c>
      <c r="F74" s="40" t="s">
        <v>221</v>
      </c>
      <c r="G74" s="94"/>
      <c r="H74" s="94">
        <v>0.7574147002080458</v>
      </c>
      <c r="I74" s="40" t="s">
        <v>220</v>
      </c>
      <c r="J74" s="40"/>
      <c r="K74" s="94"/>
      <c r="L74" s="40"/>
      <c r="M74" s="94"/>
      <c r="N74" s="40"/>
    </row>
    <row r="75" spans="1:14">
      <c r="A75" s="93" t="s">
        <v>168</v>
      </c>
      <c r="B75" s="93" t="s">
        <v>212</v>
      </c>
      <c r="C75" s="93" t="b">
        <v>1</v>
      </c>
      <c r="D75" s="93" t="s">
        <v>181</v>
      </c>
      <c r="E75" s="93" t="s">
        <v>175</v>
      </c>
      <c r="F75" s="40" t="s">
        <v>222</v>
      </c>
      <c r="G75" s="94"/>
      <c r="H75" s="94">
        <v>0.72215345197058201</v>
      </c>
      <c r="I75" s="40" t="s">
        <v>220</v>
      </c>
      <c r="J75" s="40"/>
      <c r="K75" s="94"/>
      <c r="L75" s="40"/>
      <c r="M75" s="94"/>
      <c r="N75" s="40"/>
    </row>
    <row r="76" spans="1:14">
      <c r="A76" s="93" t="s">
        <v>168</v>
      </c>
      <c r="B76" s="93" t="s">
        <v>212</v>
      </c>
      <c r="C76" s="93" t="b">
        <v>0</v>
      </c>
      <c r="D76" s="93" t="s">
        <v>181</v>
      </c>
      <c r="E76" s="93" t="s">
        <v>178</v>
      </c>
      <c r="F76" s="40" t="s">
        <v>223</v>
      </c>
      <c r="G76" s="94"/>
      <c r="H76" s="94">
        <v>1.046397190599256</v>
      </c>
      <c r="I76" s="40" t="s">
        <v>220</v>
      </c>
      <c r="J76" s="40"/>
      <c r="K76" s="94"/>
      <c r="L76" s="40"/>
      <c r="M76" s="94"/>
      <c r="N76" s="40"/>
    </row>
    <row r="77" spans="1:14">
      <c r="A77" s="93" t="s">
        <v>168</v>
      </c>
      <c r="B77" s="93" t="s">
        <v>212</v>
      </c>
      <c r="C77" s="93" t="b">
        <v>1</v>
      </c>
      <c r="D77" s="93" t="s">
        <v>181</v>
      </c>
      <c r="E77" s="93" t="s">
        <v>178</v>
      </c>
      <c r="F77" s="40" t="s">
        <v>224</v>
      </c>
      <c r="G77" s="94"/>
      <c r="H77" s="94">
        <v>0.99622656995502401</v>
      </c>
      <c r="I77" s="40" t="s">
        <v>220</v>
      </c>
      <c r="J77" s="40"/>
      <c r="K77" s="94"/>
      <c r="L77" s="40"/>
      <c r="M77" s="94"/>
      <c r="N77" s="40"/>
    </row>
    <row r="78" spans="1:14">
      <c r="A78" s="93" t="s">
        <v>168</v>
      </c>
      <c r="B78" s="93" t="s">
        <v>225</v>
      </c>
      <c r="C78" s="93" t="b">
        <v>0</v>
      </c>
      <c r="D78" s="93" t="s">
        <v>170</v>
      </c>
      <c r="E78" s="93" t="s">
        <v>171</v>
      </c>
      <c r="F78" s="40" t="s">
        <v>226</v>
      </c>
      <c r="G78" s="94"/>
      <c r="H78" s="94">
        <v>0.12216169176557388</v>
      </c>
      <c r="I78" s="40" t="s">
        <v>227</v>
      </c>
      <c r="J78" s="40"/>
      <c r="K78" s="94">
        <v>0.39471348034497983</v>
      </c>
      <c r="L78" s="40"/>
      <c r="M78" s="94">
        <v>0.60629666723627951</v>
      </c>
      <c r="N78" s="40"/>
    </row>
    <row r="79" spans="1:14">
      <c r="A79" s="93" t="s">
        <v>168</v>
      </c>
      <c r="B79" s="93" t="s">
        <v>225</v>
      </c>
      <c r="C79" s="93" t="b">
        <v>0</v>
      </c>
      <c r="D79" s="93" t="s">
        <v>170</v>
      </c>
      <c r="E79" s="93" t="s">
        <v>175</v>
      </c>
      <c r="F79" s="40" t="s">
        <v>228</v>
      </c>
      <c r="G79" s="94"/>
      <c r="H79" s="94">
        <v>0.37880577019208006</v>
      </c>
      <c r="I79" s="40" t="s">
        <v>227</v>
      </c>
      <c r="J79" s="40"/>
      <c r="K79" s="94"/>
      <c r="L79" s="40"/>
      <c r="M79" s="94"/>
      <c r="N79" s="40"/>
    </row>
    <row r="80" spans="1:14">
      <c r="A80" s="93" t="s">
        <v>168</v>
      </c>
      <c r="B80" s="93" t="s">
        <v>225</v>
      </c>
      <c r="C80" s="93" t="b">
        <v>1</v>
      </c>
      <c r="D80" s="93" t="s">
        <v>170</v>
      </c>
      <c r="E80" s="93" t="s">
        <v>175</v>
      </c>
      <c r="F80" s="40" t="s">
        <v>229</v>
      </c>
      <c r="G80" s="94"/>
      <c r="H80" s="94">
        <v>0.34929168840441499</v>
      </c>
      <c r="I80" s="40" t="s">
        <v>227</v>
      </c>
      <c r="J80" s="40"/>
      <c r="K80" s="94"/>
      <c r="L80" s="40"/>
      <c r="M80" s="94"/>
      <c r="N80" s="40"/>
    </row>
    <row r="81" spans="1:14">
      <c r="A81" s="93" t="s">
        <v>168</v>
      </c>
      <c r="B81" s="93" t="s">
        <v>225</v>
      </c>
      <c r="C81" s="93" t="b">
        <v>0</v>
      </c>
      <c r="D81" s="93" t="s">
        <v>170</v>
      </c>
      <c r="E81" s="93" t="s">
        <v>178</v>
      </c>
      <c r="F81" s="40" t="s">
        <v>230</v>
      </c>
      <c r="G81" s="94"/>
      <c r="H81" s="94">
        <v>0.68317297907728547</v>
      </c>
      <c r="I81" s="40" t="s">
        <v>227</v>
      </c>
      <c r="J81" s="40"/>
      <c r="K81" s="94"/>
      <c r="L81" s="40"/>
      <c r="M81" s="94"/>
      <c r="N81" s="40"/>
    </row>
    <row r="82" spans="1:14">
      <c r="A82" s="93" t="s">
        <v>168</v>
      </c>
      <c r="B82" s="93" t="s">
        <v>225</v>
      </c>
      <c r="C82" s="93" t="b">
        <v>1</v>
      </c>
      <c r="D82" s="93" t="s">
        <v>181</v>
      </c>
      <c r="E82" s="93" t="s">
        <v>171</v>
      </c>
      <c r="F82" s="40" t="s">
        <v>231</v>
      </c>
      <c r="G82" s="94"/>
      <c r="H82" s="94">
        <v>0.25721384406977738</v>
      </c>
      <c r="I82" s="40" t="s">
        <v>232</v>
      </c>
      <c r="J82" s="40"/>
      <c r="K82" s="94">
        <v>0.71367746701721391</v>
      </c>
      <c r="L82" s="40"/>
      <c r="M82" s="94"/>
      <c r="N82" s="40"/>
    </row>
    <row r="83" spans="1:14">
      <c r="A83" s="93" t="s">
        <v>168</v>
      </c>
      <c r="B83" s="93" t="s">
        <v>225</v>
      </c>
      <c r="C83" s="93" t="b">
        <v>0</v>
      </c>
      <c r="D83" s="93" t="s">
        <v>181</v>
      </c>
      <c r="E83" s="93" t="s">
        <v>175</v>
      </c>
      <c r="F83" s="40" t="s">
        <v>233</v>
      </c>
      <c r="G83" s="94"/>
      <c r="H83" s="94">
        <v>0.74490325030985227</v>
      </c>
      <c r="I83" s="40" t="s">
        <v>232</v>
      </c>
      <c r="J83" s="40"/>
      <c r="K83" s="94"/>
      <c r="L83" s="40"/>
      <c r="M83" s="94"/>
      <c r="N83" s="40"/>
    </row>
    <row r="84" spans="1:14">
      <c r="A84" s="93" t="s">
        <v>168</v>
      </c>
      <c r="B84" s="93" t="s">
        <v>225</v>
      </c>
      <c r="C84" s="93" t="b">
        <v>1</v>
      </c>
      <c r="D84" s="93" t="s">
        <v>181</v>
      </c>
      <c r="E84" s="93" t="s">
        <v>175</v>
      </c>
      <c r="F84" s="40" t="s">
        <v>234</v>
      </c>
      <c r="G84" s="94"/>
      <c r="H84" s="94">
        <v>0.70182658275333065</v>
      </c>
      <c r="I84" s="40" t="s">
        <v>232</v>
      </c>
      <c r="J84" s="40"/>
      <c r="K84" s="94"/>
      <c r="L84" s="40"/>
      <c r="M84" s="94"/>
      <c r="N84" s="40"/>
    </row>
    <row r="85" spans="1:14">
      <c r="A85" s="93" t="s">
        <v>168</v>
      </c>
      <c r="B85" s="93" t="s">
        <v>225</v>
      </c>
      <c r="C85" s="93" t="b">
        <v>0</v>
      </c>
      <c r="D85" s="93" t="s">
        <v>181</v>
      </c>
      <c r="E85" s="93" t="s">
        <v>178</v>
      </c>
      <c r="F85" s="40" t="s">
        <v>235</v>
      </c>
      <c r="G85" s="94"/>
      <c r="H85" s="94">
        <v>1.1389153066720124</v>
      </c>
      <c r="I85" s="40" t="s">
        <v>232</v>
      </c>
      <c r="J85" s="40"/>
      <c r="K85" s="94"/>
      <c r="L85" s="40"/>
      <c r="M85" s="94"/>
      <c r="N85" s="40"/>
    </row>
    <row r="86" spans="1:14">
      <c r="A86" s="93" t="s">
        <v>168</v>
      </c>
      <c r="B86" s="93" t="s">
        <v>225</v>
      </c>
      <c r="C86" s="93" t="b">
        <v>1</v>
      </c>
      <c r="D86" s="93" t="s">
        <v>181</v>
      </c>
      <c r="E86" s="93" t="s">
        <v>178</v>
      </c>
      <c r="F86" s="40" t="s">
        <v>236</v>
      </c>
      <c r="G86" s="94"/>
      <c r="H86" s="94">
        <v>1.0803788918821891</v>
      </c>
      <c r="I86" s="40" t="s">
        <v>232</v>
      </c>
      <c r="J86" s="40"/>
      <c r="K86" s="94"/>
      <c r="L86" s="40"/>
      <c r="M86" s="94"/>
      <c r="N86" s="40"/>
    </row>
    <row r="87" spans="1:14">
      <c r="A87" s="93" t="s">
        <v>168</v>
      </c>
      <c r="B87" s="93" t="s">
        <v>237</v>
      </c>
      <c r="C87" s="93" t="b">
        <v>0</v>
      </c>
      <c r="D87" s="93" t="s">
        <v>170</v>
      </c>
      <c r="E87" s="93" t="s">
        <v>175</v>
      </c>
      <c r="F87" s="40" t="s">
        <v>238</v>
      </c>
      <c r="G87" s="94"/>
      <c r="H87" s="94">
        <v>0.19485536777010148</v>
      </c>
      <c r="I87" s="40" t="s">
        <v>239</v>
      </c>
      <c r="J87" s="40"/>
      <c r="K87" s="94">
        <v>0.28166657093719943</v>
      </c>
      <c r="L87" s="40"/>
      <c r="M87" s="94">
        <v>0.48611614352007237</v>
      </c>
      <c r="N87" s="40"/>
    </row>
    <row r="88" spans="1:14">
      <c r="A88" s="93" t="s">
        <v>168</v>
      </c>
      <c r="B88" s="93" t="s">
        <v>237</v>
      </c>
      <c r="C88" s="93" t="b">
        <v>1</v>
      </c>
      <c r="D88" s="93" t="s">
        <v>170</v>
      </c>
      <c r="E88" s="93" t="s">
        <v>175</v>
      </c>
      <c r="F88" s="40" t="s">
        <v>240</v>
      </c>
      <c r="G88" s="94"/>
      <c r="H88" s="94">
        <v>0.19406521416291797</v>
      </c>
      <c r="I88" s="40" t="s">
        <v>239</v>
      </c>
      <c r="J88" s="40"/>
      <c r="K88" s="94"/>
      <c r="L88" s="40"/>
      <c r="M88" s="94"/>
      <c r="N88" s="40"/>
    </row>
    <row r="89" spans="1:14">
      <c r="A89" s="93" t="s">
        <v>168</v>
      </c>
      <c r="B89" s="93" t="s">
        <v>237</v>
      </c>
      <c r="C89" s="93" t="b">
        <v>0</v>
      </c>
      <c r="D89" s="93" t="s">
        <v>170</v>
      </c>
      <c r="E89" s="93" t="s">
        <v>178</v>
      </c>
      <c r="F89" s="40" t="s">
        <v>241</v>
      </c>
      <c r="G89" s="94"/>
      <c r="H89" s="94">
        <v>0.51037243155106782</v>
      </c>
      <c r="I89" s="40" t="s">
        <v>239</v>
      </c>
      <c r="J89" s="40"/>
      <c r="K89" s="94"/>
      <c r="L89" s="40"/>
      <c r="M89" s="94"/>
      <c r="N89" s="40"/>
    </row>
    <row r="90" spans="1:14">
      <c r="A90" s="93" t="s">
        <v>168</v>
      </c>
      <c r="B90" s="93" t="s">
        <v>237</v>
      </c>
      <c r="C90" s="93" t="b">
        <v>1</v>
      </c>
      <c r="D90" s="93" t="s">
        <v>170</v>
      </c>
      <c r="E90" s="93" t="s">
        <v>178</v>
      </c>
      <c r="F90" s="40" t="s">
        <v>242</v>
      </c>
      <c r="G90" s="94"/>
      <c r="H90" s="94">
        <v>0.50230162416829671</v>
      </c>
      <c r="I90" s="40" t="s">
        <v>239</v>
      </c>
      <c r="J90" s="40"/>
      <c r="K90" s="94"/>
      <c r="L90" s="40"/>
      <c r="M90" s="94"/>
      <c r="N90" s="40"/>
    </row>
    <row r="91" spans="1:14">
      <c r="A91" s="93" t="s">
        <v>168</v>
      </c>
      <c r="B91" s="93" t="s">
        <v>237</v>
      </c>
      <c r="C91" s="93" t="b">
        <v>0</v>
      </c>
      <c r="D91" s="93" t="s">
        <v>181</v>
      </c>
      <c r="E91" s="93" t="s">
        <v>175</v>
      </c>
      <c r="F91" s="40" t="s">
        <v>243</v>
      </c>
      <c r="G91" s="94"/>
      <c r="H91" s="94">
        <v>0.40890224426859828</v>
      </c>
      <c r="I91" s="40" t="s">
        <v>244</v>
      </c>
      <c r="J91" s="40"/>
      <c r="K91" s="94">
        <v>0.62448905899360507</v>
      </c>
      <c r="L91" s="40"/>
      <c r="M91" s="94"/>
      <c r="N91" s="40"/>
    </row>
    <row r="92" spans="1:14">
      <c r="A92" s="93" t="s">
        <v>168</v>
      </c>
      <c r="B92" s="93" t="s">
        <v>237</v>
      </c>
      <c r="C92" s="93" t="b">
        <v>1</v>
      </c>
      <c r="D92" s="93" t="s">
        <v>181</v>
      </c>
      <c r="E92" s="93" t="s">
        <v>175</v>
      </c>
      <c r="F92" s="40" t="s">
        <v>245</v>
      </c>
      <c r="G92" s="94"/>
      <c r="H92" s="94">
        <v>0.40794352232133491</v>
      </c>
      <c r="I92" s="40" t="s">
        <v>244</v>
      </c>
      <c r="J92" s="40"/>
      <c r="K92" s="94"/>
      <c r="L92" s="40"/>
      <c r="M92" s="94"/>
      <c r="N92" s="40"/>
    </row>
    <row r="93" spans="1:14">
      <c r="A93" s="93" t="s">
        <v>168</v>
      </c>
      <c r="B93" s="93" t="s">
        <v>237</v>
      </c>
      <c r="C93" s="93" t="b">
        <v>0</v>
      </c>
      <c r="D93" s="93" t="s">
        <v>181</v>
      </c>
      <c r="E93" s="93" t="s">
        <v>178</v>
      </c>
      <c r="F93" s="40" t="s">
        <v>246</v>
      </c>
      <c r="G93" s="94"/>
      <c r="H93" s="94">
        <v>0.84007587371861181</v>
      </c>
      <c r="I93" s="40" t="s">
        <v>244</v>
      </c>
      <c r="J93" s="40"/>
      <c r="K93" s="94"/>
      <c r="L93" s="40"/>
      <c r="M93" s="94"/>
      <c r="N93" s="40"/>
    </row>
    <row r="94" spans="1:14">
      <c r="A94" s="93" t="s">
        <v>168</v>
      </c>
      <c r="B94" s="93" t="s">
        <v>237</v>
      </c>
      <c r="C94" s="93" t="b">
        <v>1</v>
      </c>
      <c r="D94" s="93" t="s">
        <v>181</v>
      </c>
      <c r="E94" s="93" t="s">
        <v>178</v>
      </c>
      <c r="F94" s="40" t="s">
        <v>247</v>
      </c>
      <c r="G94" s="94"/>
      <c r="H94" s="94">
        <v>0.83041287019965004</v>
      </c>
      <c r="I94" s="40" t="s">
        <v>244</v>
      </c>
      <c r="J94" s="40"/>
      <c r="K94" s="94"/>
      <c r="L94" s="40"/>
      <c r="M94" s="94"/>
      <c r="N94" s="40"/>
    </row>
    <row r="95" spans="1:14">
      <c r="A95" s="93" t="s">
        <v>168</v>
      </c>
      <c r="B95" s="93" t="s">
        <v>248</v>
      </c>
      <c r="C95" s="93" t="b">
        <v>0</v>
      </c>
      <c r="D95" s="93" t="s">
        <v>170</v>
      </c>
      <c r="E95" s="93" t="s">
        <v>171</v>
      </c>
      <c r="F95" s="40" t="s">
        <v>249</v>
      </c>
      <c r="G95" s="94"/>
      <c r="H95" s="94">
        <v>6.0672200009934799E-2</v>
      </c>
      <c r="I95" s="40" t="s">
        <v>250</v>
      </c>
      <c r="J95" s="40"/>
      <c r="K95" s="94">
        <v>0.20051787465688975</v>
      </c>
      <c r="L95" s="40"/>
      <c r="M95" s="94">
        <v>0.26871595703143009</v>
      </c>
      <c r="N95" s="40"/>
    </row>
    <row r="96" spans="1:14">
      <c r="A96" s="93" t="s">
        <v>168</v>
      </c>
      <c r="B96" s="93" t="s">
        <v>248</v>
      </c>
      <c r="C96" s="93" t="b">
        <v>1</v>
      </c>
      <c r="D96" s="93" t="s">
        <v>170</v>
      </c>
      <c r="E96" s="93" t="s">
        <v>171</v>
      </c>
      <c r="F96" s="40" t="s">
        <v>251</v>
      </c>
      <c r="G96" s="94"/>
      <c r="H96" s="94">
        <v>6.0672075362998137E-2</v>
      </c>
      <c r="I96" s="40" t="s">
        <v>250</v>
      </c>
      <c r="J96" s="40"/>
      <c r="K96" s="94"/>
      <c r="L96" s="40"/>
      <c r="M96" s="94"/>
      <c r="N96" s="40"/>
    </row>
    <row r="97" spans="1:14">
      <c r="A97" s="93" t="s">
        <v>168</v>
      </c>
      <c r="B97" s="93" t="s">
        <v>248</v>
      </c>
      <c r="C97" s="93" t="b">
        <v>0</v>
      </c>
      <c r="D97" s="93" t="s">
        <v>170</v>
      </c>
      <c r="E97" s="93" t="s">
        <v>175</v>
      </c>
      <c r="F97" s="40" t="s">
        <v>252</v>
      </c>
      <c r="G97" s="94"/>
      <c r="H97" s="94">
        <v>0.11462589030212797</v>
      </c>
      <c r="I97" s="40" t="s">
        <v>250</v>
      </c>
      <c r="J97" s="40"/>
      <c r="K97" s="94"/>
      <c r="L97" s="40"/>
      <c r="M97" s="94"/>
      <c r="N97" s="40"/>
    </row>
    <row r="98" spans="1:14">
      <c r="A98" s="93" t="s">
        <v>168</v>
      </c>
      <c r="B98" s="93" t="s">
        <v>248</v>
      </c>
      <c r="C98" s="93" t="b">
        <v>1</v>
      </c>
      <c r="D98" s="93" t="s">
        <v>170</v>
      </c>
      <c r="E98" s="93" t="s">
        <v>175</v>
      </c>
      <c r="F98" s="40" t="s">
        <v>253</v>
      </c>
      <c r="G98" s="94"/>
      <c r="H98" s="94">
        <v>0.11462570230665367</v>
      </c>
      <c r="I98" s="40" t="s">
        <v>250</v>
      </c>
      <c r="J98" s="40"/>
      <c r="K98" s="94"/>
      <c r="L98" s="40"/>
      <c r="M98" s="94"/>
      <c r="N98" s="40"/>
    </row>
    <row r="99" spans="1:14">
      <c r="A99" s="93" t="s">
        <v>168</v>
      </c>
      <c r="B99" s="93" t="s">
        <v>248</v>
      </c>
      <c r="C99" s="93" t="b">
        <v>1</v>
      </c>
      <c r="D99" s="93" t="s">
        <v>170</v>
      </c>
      <c r="E99" s="93" t="s">
        <v>178</v>
      </c>
      <c r="F99" s="40" t="s">
        <v>254</v>
      </c>
      <c r="G99" s="94"/>
      <c r="H99" s="94">
        <v>0.42625553365860647</v>
      </c>
      <c r="I99" s="40" t="s">
        <v>250</v>
      </c>
      <c r="J99" s="40"/>
      <c r="K99" s="94"/>
      <c r="L99" s="40"/>
      <c r="M99" s="94"/>
      <c r="N99" s="40"/>
    </row>
    <row r="100" spans="1:14">
      <c r="A100" s="93" t="s">
        <v>168</v>
      </c>
      <c r="B100" s="93" t="s">
        <v>248</v>
      </c>
      <c r="C100" s="93" t="b">
        <v>1</v>
      </c>
      <c r="D100" s="93" t="s">
        <v>181</v>
      </c>
      <c r="E100" s="93" t="s">
        <v>171</v>
      </c>
      <c r="F100" s="40" t="s">
        <v>255</v>
      </c>
      <c r="G100" s="94"/>
      <c r="H100" s="94">
        <v>0.1095616587190448</v>
      </c>
      <c r="I100" s="40" t="s">
        <v>256</v>
      </c>
      <c r="J100" s="40"/>
      <c r="K100" s="94">
        <v>0.33664934738461127</v>
      </c>
      <c r="L100" s="40"/>
      <c r="M100" s="94"/>
      <c r="N100" s="40"/>
    </row>
    <row r="101" spans="1:14">
      <c r="A101" s="93" t="s">
        <v>168</v>
      </c>
      <c r="B101" s="93" t="s">
        <v>248</v>
      </c>
      <c r="C101" s="93" t="b">
        <v>0</v>
      </c>
      <c r="D101" s="93" t="s">
        <v>181</v>
      </c>
      <c r="E101" s="93" t="s">
        <v>175</v>
      </c>
      <c r="F101" s="40" t="s">
        <v>257</v>
      </c>
      <c r="G101" s="94"/>
      <c r="H101" s="94">
        <v>0.21660279988560888</v>
      </c>
      <c r="I101" s="40" t="s">
        <v>256</v>
      </c>
      <c r="J101" s="40"/>
      <c r="K101" s="94"/>
      <c r="L101" s="40"/>
      <c r="M101" s="94"/>
      <c r="N101" s="40"/>
    </row>
    <row r="102" spans="1:14">
      <c r="A102" s="93" t="s">
        <v>168</v>
      </c>
      <c r="B102" s="93" t="s">
        <v>248</v>
      </c>
      <c r="C102" s="93" t="b">
        <v>1</v>
      </c>
      <c r="D102" s="93" t="s">
        <v>181</v>
      </c>
      <c r="E102" s="93" t="s">
        <v>175</v>
      </c>
      <c r="F102" s="40" t="s">
        <v>258</v>
      </c>
      <c r="G102" s="94"/>
      <c r="H102" s="94">
        <v>0.21660255365244568</v>
      </c>
      <c r="I102" s="40" t="s">
        <v>256</v>
      </c>
      <c r="J102" s="40"/>
      <c r="K102" s="94"/>
      <c r="L102" s="40"/>
      <c r="M102" s="94"/>
      <c r="N102" s="40"/>
    </row>
    <row r="103" spans="1:14">
      <c r="A103" s="93" t="s">
        <v>168</v>
      </c>
      <c r="B103" s="93" t="s">
        <v>248</v>
      </c>
      <c r="C103" s="93" t="b">
        <v>0</v>
      </c>
      <c r="D103" s="93" t="s">
        <v>181</v>
      </c>
      <c r="E103" s="93" t="s">
        <v>178</v>
      </c>
      <c r="F103" s="40" t="s">
        <v>259</v>
      </c>
      <c r="G103" s="94"/>
      <c r="H103" s="94">
        <v>0.68378358354918023</v>
      </c>
      <c r="I103" s="40" t="s">
        <v>256</v>
      </c>
      <c r="J103" s="40"/>
      <c r="K103" s="94"/>
      <c r="L103" s="40"/>
      <c r="M103" s="94"/>
      <c r="N103" s="40"/>
    </row>
    <row r="104" spans="1:14">
      <c r="A104" s="93" t="s">
        <v>168</v>
      </c>
      <c r="B104" s="93" t="s">
        <v>248</v>
      </c>
      <c r="C104" s="93" t="b">
        <v>1</v>
      </c>
      <c r="D104" s="93" t="s">
        <v>181</v>
      </c>
      <c r="E104" s="93" t="s">
        <v>178</v>
      </c>
      <c r="F104" s="40" t="s">
        <v>260</v>
      </c>
      <c r="G104" s="94"/>
      <c r="H104" s="94">
        <v>0.68375757286770056</v>
      </c>
      <c r="I104" s="40" t="s">
        <v>256</v>
      </c>
      <c r="J104" s="40"/>
      <c r="K104" s="94"/>
      <c r="L104" s="40"/>
      <c r="M104" s="94"/>
      <c r="N104" s="40"/>
    </row>
    <row r="105" spans="1:14">
      <c r="A105" s="93" t="s">
        <v>168</v>
      </c>
      <c r="B105" s="93" t="s">
        <v>261</v>
      </c>
      <c r="C105" s="93" t="b">
        <v>0</v>
      </c>
      <c r="D105" s="93" t="s">
        <v>170</v>
      </c>
      <c r="E105" s="93" t="s">
        <v>171</v>
      </c>
      <c r="F105" s="40" t="s">
        <v>262</v>
      </c>
      <c r="G105" s="94"/>
      <c r="H105" s="94">
        <v>5.8549659197759278E-2</v>
      </c>
      <c r="I105" s="40" t="s">
        <v>263</v>
      </c>
      <c r="J105" s="40"/>
      <c r="K105" s="94">
        <v>0.29894216948662167</v>
      </c>
      <c r="L105" s="40"/>
      <c r="M105" s="94">
        <v>0.44688442322441196</v>
      </c>
      <c r="N105" s="40"/>
    </row>
    <row r="106" spans="1:14">
      <c r="A106" s="93" t="s">
        <v>168</v>
      </c>
      <c r="B106" s="93" t="s">
        <v>261</v>
      </c>
      <c r="C106" s="93" t="b">
        <v>1</v>
      </c>
      <c r="D106" s="93" t="s">
        <v>170</v>
      </c>
      <c r="E106" s="93" t="s">
        <v>171</v>
      </c>
      <c r="F106" s="40" t="s">
        <v>264</v>
      </c>
      <c r="G106" s="94"/>
      <c r="H106" s="94">
        <v>5.8326156497808472E-2</v>
      </c>
      <c r="I106" s="40" t="s">
        <v>263</v>
      </c>
      <c r="J106" s="40"/>
      <c r="K106" s="94"/>
      <c r="L106" s="40"/>
      <c r="M106" s="94"/>
      <c r="N106" s="40"/>
    </row>
    <row r="107" spans="1:14">
      <c r="A107" s="93" t="s">
        <v>168</v>
      </c>
      <c r="B107" s="93" t="s">
        <v>261</v>
      </c>
      <c r="C107" s="93" t="b">
        <v>0</v>
      </c>
      <c r="D107" s="93" t="s">
        <v>170</v>
      </c>
      <c r="E107" s="93" t="s">
        <v>175</v>
      </c>
      <c r="F107" s="40" t="s">
        <v>265</v>
      </c>
      <c r="G107" s="94"/>
      <c r="H107" s="94">
        <v>0.28503442026999537</v>
      </c>
      <c r="I107" s="40" t="s">
        <v>263</v>
      </c>
      <c r="J107" s="40"/>
      <c r="K107" s="94"/>
      <c r="L107" s="40"/>
      <c r="M107" s="94"/>
      <c r="N107" s="40"/>
    </row>
    <row r="108" spans="1:14">
      <c r="A108" s="93" t="s">
        <v>168</v>
      </c>
      <c r="B108" s="93" t="s">
        <v>261</v>
      </c>
      <c r="C108" s="93" t="b">
        <v>1</v>
      </c>
      <c r="D108" s="93" t="s">
        <v>170</v>
      </c>
      <c r="E108" s="93" t="s">
        <v>175</v>
      </c>
      <c r="F108" s="40" t="s">
        <v>266</v>
      </c>
      <c r="G108" s="94"/>
      <c r="H108" s="94">
        <v>0.28293019935410368</v>
      </c>
      <c r="I108" s="40" t="s">
        <v>263</v>
      </c>
      <c r="J108" s="40"/>
      <c r="K108" s="94"/>
      <c r="L108" s="40"/>
      <c r="M108" s="94"/>
      <c r="N108" s="40"/>
    </row>
    <row r="109" spans="1:14">
      <c r="A109" s="93" t="s">
        <v>168</v>
      </c>
      <c r="B109" s="93" t="s">
        <v>261</v>
      </c>
      <c r="C109" s="93" t="b">
        <v>1</v>
      </c>
      <c r="D109" s="93" t="s">
        <v>170</v>
      </c>
      <c r="E109" s="93" t="s">
        <v>178</v>
      </c>
      <c r="F109" s="40" t="s">
        <v>267</v>
      </c>
      <c r="G109" s="94"/>
      <c r="H109" s="94">
        <v>0.55324242899211029</v>
      </c>
      <c r="I109" s="40" t="s">
        <v>263</v>
      </c>
      <c r="J109" s="40"/>
      <c r="K109" s="94"/>
      <c r="L109" s="40"/>
      <c r="M109" s="94"/>
      <c r="N109" s="40"/>
    </row>
    <row r="110" spans="1:14">
      <c r="A110" s="93" t="s">
        <v>168</v>
      </c>
      <c r="B110" s="93" t="s">
        <v>261</v>
      </c>
      <c r="C110" s="93" t="b">
        <v>1</v>
      </c>
      <c r="D110" s="93" t="s">
        <v>181</v>
      </c>
      <c r="E110" s="93" t="s">
        <v>171</v>
      </c>
      <c r="F110" s="40" t="s">
        <v>268</v>
      </c>
      <c r="G110" s="94"/>
      <c r="H110" s="94">
        <v>0.1437460000833149</v>
      </c>
      <c r="I110" s="40" t="s">
        <v>269</v>
      </c>
      <c r="J110" s="40"/>
      <c r="K110" s="94">
        <v>0.56357076800169859</v>
      </c>
      <c r="L110" s="40"/>
      <c r="M110" s="94"/>
      <c r="N110" s="40"/>
    </row>
    <row r="111" spans="1:14">
      <c r="A111" s="93" t="s">
        <v>168</v>
      </c>
      <c r="B111" s="93" t="s">
        <v>261</v>
      </c>
      <c r="C111" s="93" t="b">
        <v>0</v>
      </c>
      <c r="D111" s="93" t="s">
        <v>181</v>
      </c>
      <c r="E111" s="93" t="s">
        <v>175</v>
      </c>
      <c r="F111" s="40" t="s">
        <v>270</v>
      </c>
      <c r="G111" s="94"/>
      <c r="H111" s="94">
        <v>0.59781542523795927</v>
      </c>
      <c r="I111" s="40" t="s">
        <v>269</v>
      </c>
      <c r="J111" s="40"/>
      <c r="K111" s="94"/>
      <c r="L111" s="40"/>
      <c r="M111" s="94"/>
      <c r="N111" s="40"/>
    </row>
    <row r="112" spans="1:14">
      <c r="A112" s="93" t="s">
        <v>168</v>
      </c>
      <c r="B112" s="93" t="s">
        <v>261</v>
      </c>
      <c r="C112" s="93" t="b">
        <v>1</v>
      </c>
      <c r="D112" s="93" t="s">
        <v>181</v>
      </c>
      <c r="E112" s="93" t="s">
        <v>175</v>
      </c>
      <c r="F112" s="40" t="s">
        <v>271</v>
      </c>
      <c r="G112" s="94"/>
      <c r="H112" s="94">
        <v>0.59527919024563358</v>
      </c>
      <c r="I112" s="40" t="s">
        <v>269</v>
      </c>
      <c r="J112" s="40"/>
      <c r="K112" s="94"/>
      <c r="L112" s="40"/>
      <c r="M112" s="94"/>
      <c r="N112" s="40"/>
    </row>
    <row r="113" spans="1:14">
      <c r="A113" s="93" t="s">
        <v>168</v>
      </c>
      <c r="B113" s="93" t="s">
        <v>261</v>
      </c>
      <c r="C113" s="93" t="b">
        <v>0</v>
      </c>
      <c r="D113" s="93" t="s">
        <v>181</v>
      </c>
      <c r="E113" s="93" t="s">
        <v>178</v>
      </c>
      <c r="F113" s="40" t="s">
        <v>272</v>
      </c>
      <c r="G113" s="94"/>
      <c r="H113" s="94">
        <v>0.94915087868382153</v>
      </c>
      <c r="I113" s="40" t="s">
        <v>269</v>
      </c>
      <c r="J113" s="40"/>
      <c r="K113" s="94"/>
      <c r="L113" s="40"/>
      <c r="M113" s="94"/>
      <c r="N113" s="40"/>
    </row>
    <row r="114" spans="1:14">
      <c r="A114" s="93" t="s">
        <v>168</v>
      </c>
      <c r="B114" s="93" t="s">
        <v>261</v>
      </c>
      <c r="C114" s="93" t="b">
        <v>1</v>
      </c>
      <c r="D114" s="93" t="s">
        <v>181</v>
      </c>
      <c r="E114" s="93" t="s">
        <v>178</v>
      </c>
      <c r="F114" s="40" t="s">
        <v>273</v>
      </c>
      <c r="G114" s="94"/>
      <c r="H114" s="94">
        <v>0.94476987368161325</v>
      </c>
      <c r="I114" s="40" t="s">
        <v>269</v>
      </c>
      <c r="J114" s="40"/>
      <c r="K114" s="94"/>
      <c r="L114" s="40"/>
      <c r="M114" s="94"/>
      <c r="N114" s="40"/>
    </row>
    <row r="115" spans="1:14">
      <c r="A115" s="93" t="s">
        <v>274</v>
      </c>
      <c r="B115" s="93" t="s">
        <v>169</v>
      </c>
      <c r="C115" s="93" t="b">
        <v>0</v>
      </c>
      <c r="D115" s="93" t="s">
        <v>170</v>
      </c>
      <c r="E115" s="93" t="s">
        <v>171</v>
      </c>
      <c r="F115" s="40" t="s">
        <v>275</v>
      </c>
      <c r="G115" s="94"/>
      <c r="H115" s="94">
        <v>6.0592584488517821E-2</v>
      </c>
      <c r="I115" s="40" t="s">
        <v>173</v>
      </c>
      <c r="J115" s="40"/>
      <c r="K115" s="94">
        <v>0.32152638644951764</v>
      </c>
      <c r="L115" s="40"/>
      <c r="M115" s="94"/>
      <c r="N115" s="40"/>
    </row>
    <row r="116" spans="1:14">
      <c r="A116" s="93" t="s">
        <v>274</v>
      </c>
      <c r="B116" s="93" t="s">
        <v>169</v>
      </c>
      <c r="C116" s="93" t="b">
        <v>1</v>
      </c>
      <c r="D116" s="93" t="s">
        <v>170</v>
      </c>
      <c r="E116" s="93" t="s">
        <v>171</v>
      </c>
      <c r="F116" s="40" t="s">
        <v>276</v>
      </c>
      <c r="G116" s="94"/>
      <c r="H116" s="94">
        <v>6.0582166670006848E-2</v>
      </c>
      <c r="I116" s="40" t="s">
        <v>173</v>
      </c>
      <c r="J116" s="40"/>
      <c r="K116" s="94"/>
      <c r="L116" s="40"/>
      <c r="M116" s="94"/>
      <c r="N116" s="40"/>
    </row>
    <row r="117" spans="1:14">
      <c r="A117" s="93" t="s">
        <v>274</v>
      </c>
      <c r="B117" s="93" t="s">
        <v>169</v>
      </c>
      <c r="C117" s="93" t="b">
        <v>0</v>
      </c>
      <c r="D117" s="93" t="s">
        <v>170</v>
      </c>
      <c r="E117" s="93" t="s">
        <v>175</v>
      </c>
      <c r="F117" s="40" t="s">
        <v>277</v>
      </c>
      <c r="G117" s="94"/>
      <c r="H117" s="94">
        <v>0.34188438426249124</v>
      </c>
      <c r="I117" s="40" t="s">
        <v>173</v>
      </c>
      <c r="J117" s="40"/>
      <c r="K117" s="94"/>
      <c r="L117" s="40"/>
      <c r="M117" s="94"/>
      <c r="N117" s="40"/>
    </row>
    <row r="118" spans="1:14">
      <c r="A118" s="93" t="s">
        <v>274</v>
      </c>
      <c r="B118" s="93" t="s">
        <v>169</v>
      </c>
      <c r="C118" s="93" t="b">
        <v>1</v>
      </c>
      <c r="D118" s="93" t="s">
        <v>170</v>
      </c>
      <c r="E118" s="93" t="s">
        <v>175</v>
      </c>
      <c r="F118" s="40" t="s">
        <v>278</v>
      </c>
      <c r="G118" s="94"/>
      <c r="H118" s="94">
        <v>0.34181450819707121</v>
      </c>
      <c r="I118" s="40" t="s">
        <v>173</v>
      </c>
      <c r="J118" s="40"/>
      <c r="K118" s="94"/>
      <c r="L118" s="40"/>
      <c r="M118" s="94"/>
      <c r="N118" s="40"/>
    </row>
    <row r="119" spans="1:14">
      <c r="A119" s="93" t="s">
        <v>274</v>
      </c>
      <c r="B119" s="93" t="s">
        <v>169</v>
      </c>
      <c r="C119" s="93" t="b">
        <v>0</v>
      </c>
      <c r="D119" s="93" t="s">
        <v>170</v>
      </c>
      <c r="E119" s="93" t="s">
        <v>178</v>
      </c>
      <c r="F119" s="40" t="s">
        <v>279</v>
      </c>
      <c r="G119" s="94"/>
      <c r="H119" s="94">
        <v>0.56210219059754374</v>
      </c>
      <c r="I119" s="40" t="s">
        <v>173</v>
      </c>
      <c r="J119" s="40"/>
      <c r="K119" s="94"/>
      <c r="L119" s="40"/>
      <c r="M119" s="94"/>
      <c r="N119" s="40"/>
    </row>
    <row r="120" spans="1:14">
      <c r="A120" s="93" t="s">
        <v>274</v>
      </c>
      <c r="B120" s="93" t="s">
        <v>169</v>
      </c>
      <c r="C120" s="93" t="b">
        <v>1</v>
      </c>
      <c r="D120" s="93" t="s">
        <v>170</v>
      </c>
      <c r="E120" s="93" t="s">
        <v>178</v>
      </c>
      <c r="F120" s="40" t="s">
        <v>280</v>
      </c>
      <c r="G120" s="94"/>
      <c r="H120" s="94">
        <v>0.56196578453387513</v>
      </c>
      <c r="I120" s="40" t="s">
        <v>173</v>
      </c>
      <c r="J120" s="40"/>
      <c r="K120" s="94"/>
      <c r="L120" s="40"/>
      <c r="M120" s="94"/>
      <c r="N120" s="40"/>
    </row>
    <row r="121" spans="1:14">
      <c r="A121" s="93" t="s">
        <v>274</v>
      </c>
      <c r="B121" s="93" t="s">
        <v>169</v>
      </c>
      <c r="C121" s="93" t="b">
        <v>0</v>
      </c>
      <c r="D121" s="93" t="s">
        <v>181</v>
      </c>
      <c r="E121" s="93" t="s">
        <v>171</v>
      </c>
      <c r="F121" s="40" t="s">
        <v>281</v>
      </c>
      <c r="G121" s="94"/>
      <c r="H121" s="94">
        <v>0.17537728914488418</v>
      </c>
      <c r="I121" s="40" t="s">
        <v>183</v>
      </c>
      <c r="J121" s="40"/>
      <c r="K121" s="94">
        <v>0.63382900611061899</v>
      </c>
      <c r="L121" s="40"/>
      <c r="M121" s="94"/>
      <c r="N121" s="40"/>
    </row>
    <row r="122" spans="1:14">
      <c r="A122" s="93" t="s">
        <v>274</v>
      </c>
      <c r="B122" s="93" t="s">
        <v>169</v>
      </c>
      <c r="C122" s="93" t="b">
        <v>1</v>
      </c>
      <c r="D122" s="93" t="s">
        <v>181</v>
      </c>
      <c r="E122" s="93" t="s">
        <v>171</v>
      </c>
      <c r="F122" s="40" t="s">
        <v>282</v>
      </c>
      <c r="G122" s="94"/>
      <c r="H122" s="94">
        <v>0.17535803032209482</v>
      </c>
      <c r="I122" s="40" t="s">
        <v>183</v>
      </c>
      <c r="J122" s="40"/>
      <c r="K122" s="94"/>
      <c r="L122" s="40"/>
      <c r="M122" s="94"/>
      <c r="N122" s="40"/>
    </row>
    <row r="123" spans="1:14">
      <c r="A123" s="93" t="s">
        <v>274</v>
      </c>
      <c r="B123" s="93" t="s">
        <v>169</v>
      </c>
      <c r="C123" s="93" t="b">
        <v>0</v>
      </c>
      <c r="D123" s="93" t="s">
        <v>181</v>
      </c>
      <c r="E123" s="93" t="s">
        <v>175</v>
      </c>
      <c r="F123" s="40" t="s">
        <v>283</v>
      </c>
      <c r="G123" s="94"/>
      <c r="H123" s="94">
        <v>0.73582926930533388</v>
      </c>
      <c r="I123" s="40" t="s">
        <v>183</v>
      </c>
      <c r="J123" s="40"/>
      <c r="K123" s="94"/>
      <c r="L123" s="40"/>
      <c r="M123" s="94"/>
      <c r="N123" s="40"/>
    </row>
    <row r="124" spans="1:14">
      <c r="A124" s="93" t="s">
        <v>274</v>
      </c>
      <c r="B124" s="93" t="s">
        <v>169</v>
      </c>
      <c r="C124" s="93" t="b">
        <v>1</v>
      </c>
      <c r="D124" s="93" t="s">
        <v>181</v>
      </c>
      <c r="E124" s="93" t="s">
        <v>175</v>
      </c>
      <c r="F124" s="40" t="s">
        <v>284</v>
      </c>
      <c r="G124" s="94"/>
      <c r="H124" s="94">
        <v>0.735735906665413</v>
      </c>
      <c r="I124" s="40" t="s">
        <v>183</v>
      </c>
      <c r="J124" s="40"/>
      <c r="K124" s="94"/>
      <c r="L124" s="40"/>
      <c r="M124" s="94"/>
      <c r="N124" s="40"/>
    </row>
    <row r="125" spans="1:14">
      <c r="A125" s="93" t="s">
        <v>274</v>
      </c>
      <c r="B125" s="93" t="s">
        <v>169</v>
      </c>
      <c r="C125" s="93" t="b">
        <v>0</v>
      </c>
      <c r="D125" s="93" t="s">
        <v>181</v>
      </c>
      <c r="E125" s="93" t="s">
        <v>178</v>
      </c>
      <c r="F125" s="40" t="s">
        <v>285</v>
      </c>
      <c r="G125" s="94"/>
      <c r="H125" s="94">
        <v>0.99028045988163893</v>
      </c>
      <c r="I125" s="40" t="s">
        <v>183</v>
      </c>
      <c r="J125" s="40"/>
      <c r="K125" s="94"/>
      <c r="L125" s="40"/>
      <c r="M125" s="94"/>
      <c r="N125" s="40"/>
    </row>
    <row r="126" spans="1:14">
      <c r="A126" s="93" t="s">
        <v>274</v>
      </c>
      <c r="B126" s="93" t="s">
        <v>169</v>
      </c>
      <c r="C126" s="93" t="b">
        <v>1</v>
      </c>
      <c r="D126" s="93" t="s">
        <v>181</v>
      </c>
      <c r="E126" s="93" t="s">
        <v>178</v>
      </c>
      <c r="F126" s="40" t="s">
        <v>286</v>
      </c>
      <c r="G126" s="94"/>
      <c r="H126" s="94">
        <v>0.99010424808601316</v>
      </c>
      <c r="I126" s="40" t="s">
        <v>183</v>
      </c>
      <c r="J126" s="40"/>
      <c r="K126" s="94"/>
      <c r="L126" s="40"/>
      <c r="M126" s="94"/>
      <c r="N126" s="40"/>
    </row>
    <row r="127" spans="1:14">
      <c r="A127" s="93" t="s">
        <v>274</v>
      </c>
      <c r="B127" s="93" t="s">
        <v>169</v>
      </c>
      <c r="C127" s="93" t="b">
        <v>1</v>
      </c>
      <c r="D127" s="93" t="s">
        <v>287</v>
      </c>
      <c r="E127" s="93" t="s">
        <v>171</v>
      </c>
      <c r="F127" s="40" t="s">
        <v>288</v>
      </c>
      <c r="G127" s="94"/>
      <c r="H127" s="94">
        <v>0.8569518283827724</v>
      </c>
      <c r="I127" s="40" t="s">
        <v>289</v>
      </c>
      <c r="J127" s="40"/>
      <c r="K127" s="94">
        <v>0.8569518283827724</v>
      </c>
      <c r="L127" s="40"/>
      <c r="M127" s="94"/>
      <c r="N127" s="40"/>
    </row>
    <row r="128" spans="1:14">
      <c r="A128" s="93" t="s">
        <v>274</v>
      </c>
      <c r="B128" s="93" t="s">
        <v>189</v>
      </c>
      <c r="C128" s="93" t="b">
        <v>0</v>
      </c>
      <c r="D128" s="93" t="s">
        <v>170</v>
      </c>
      <c r="E128" s="93" t="s">
        <v>171</v>
      </c>
      <c r="F128" s="40" t="s">
        <v>290</v>
      </c>
      <c r="G128" s="94"/>
      <c r="H128" s="94">
        <v>5.3602459417258698E-2</v>
      </c>
      <c r="I128" s="40" t="s">
        <v>191</v>
      </c>
      <c r="J128" s="40"/>
      <c r="K128" s="94">
        <v>0.28403349287329233</v>
      </c>
      <c r="L128" s="40"/>
      <c r="M128" s="94"/>
      <c r="N128" s="40"/>
    </row>
    <row r="129" spans="1:14">
      <c r="A129" s="93" t="s">
        <v>274</v>
      </c>
      <c r="B129" s="93" t="s">
        <v>189</v>
      </c>
      <c r="C129" s="93" t="b">
        <v>1</v>
      </c>
      <c r="D129" s="93" t="s">
        <v>170</v>
      </c>
      <c r="E129" s="93" t="s">
        <v>171</v>
      </c>
      <c r="F129" s="40" t="s">
        <v>291</v>
      </c>
      <c r="G129" s="94"/>
      <c r="H129" s="94">
        <v>5.3602459417258698E-2</v>
      </c>
      <c r="I129" s="40" t="s">
        <v>191</v>
      </c>
      <c r="J129" s="40"/>
      <c r="K129" s="94"/>
      <c r="L129" s="40"/>
      <c r="M129" s="94"/>
      <c r="N129" s="40"/>
    </row>
    <row r="130" spans="1:14">
      <c r="A130" s="93" t="s">
        <v>274</v>
      </c>
      <c r="B130" s="93" t="s">
        <v>189</v>
      </c>
      <c r="C130" s="93" t="b">
        <v>0</v>
      </c>
      <c r="D130" s="93" t="s">
        <v>170</v>
      </c>
      <c r="E130" s="93" t="s">
        <v>175</v>
      </c>
      <c r="F130" s="40" t="s">
        <v>292</v>
      </c>
      <c r="G130" s="94"/>
      <c r="H130" s="94">
        <v>0.29523438269230684</v>
      </c>
      <c r="I130" s="40" t="s">
        <v>191</v>
      </c>
      <c r="J130" s="40"/>
      <c r="K130" s="94"/>
      <c r="L130" s="40"/>
      <c r="M130" s="94"/>
      <c r="N130" s="40"/>
    </row>
    <row r="131" spans="1:14">
      <c r="A131" s="93" t="s">
        <v>274</v>
      </c>
      <c r="B131" s="93" t="s">
        <v>189</v>
      </c>
      <c r="C131" s="93" t="b">
        <v>1</v>
      </c>
      <c r="D131" s="93" t="s">
        <v>170</v>
      </c>
      <c r="E131" s="93" t="s">
        <v>175</v>
      </c>
      <c r="F131" s="40" t="s">
        <v>293</v>
      </c>
      <c r="G131" s="94"/>
      <c r="H131" s="94">
        <v>0.29523438269230684</v>
      </c>
      <c r="I131" s="40" t="s">
        <v>191</v>
      </c>
      <c r="J131" s="40"/>
      <c r="K131" s="94"/>
      <c r="L131" s="40"/>
      <c r="M131" s="94"/>
      <c r="N131" s="40"/>
    </row>
    <row r="132" spans="1:14">
      <c r="A132" s="93" t="s">
        <v>274</v>
      </c>
      <c r="B132" s="93" t="s">
        <v>189</v>
      </c>
      <c r="C132" s="93" t="b">
        <v>0</v>
      </c>
      <c r="D132" s="93" t="s">
        <v>170</v>
      </c>
      <c r="E132" s="93" t="s">
        <v>178</v>
      </c>
      <c r="F132" s="40" t="s">
        <v>294</v>
      </c>
      <c r="G132" s="94"/>
      <c r="H132" s="94">
        <v>0.50326363651031136</v>
      </c>
      <c r="I132" s="40" t="s">
        <v>191</v>
      </c>
      <c r="J132" s="40"/>
      <c r="K132" s="94"/>
      <c r="L132" s="40"/>
      <c r="M132" s="94"/>
      <c r="N132" s="40"/>
    </row>
    <row r="133" spans="1:14">
      <c r="A133" s="93" t="s">
        <v>274</v>
      </c>
      <c r="B133" s="93" t="s">
        <v>189</v>
      </c>
      <c r="C133" s="93" t="b">
        <v>1</v>
      </c>
      <c r="D133" s="93" t="s">
        <v>170</v>
      </c>
      <c r="E133" s="93" t="s">
        <v>178</v>
      </c>
      <c r="F133" s="40" t="s">
        <v>295</v>
      </c>
      <c r="G133" s="94"/>
      <c r="H133" s="94">
        <v>0.50326363651031136</v>
      </c>
      <c r="I133" s="40" t="s">
        <v>191</v>
      </c>
      <c r="J133" s="40"/>
      <c r="K133" s="94"/>
      <c r="L133" s="40"/>
      <c r="M133" s="94"/>
      <c r="N133" s="40"/>
    </row>
    <row r="134" spans="1:14">
      <c r="A134" s="93" t="s">
        <v>274</v>
      </c>
      <c r="B134" s="93" t="s">
        <v>189</v>
      </c>
      <c r="C134" s="93" t="b">
        <v>0</v>
      </c>
      <c r="D134" s="93" t="s">
        <v>181</v>
      </c>
      <c r="E134" s="93" t="s">
        <v>171</v>
      </c>
      <c r="F134" s="40" t="s">
        <v>296</v>
      </c>
      <c r="G134" s="94"/>
      <c r="H134" s="94">
        <v>0.15221957880027007</v>
      </c>
      <c r="I134" s="40" t="s">
        <v>197</v>
      </c>
      <c r="J134" s="40"/>
      <c r="K134" s="94">
        <v>0.54403623258977751</v>
      </c>
      <c r="L134" s="40"/>
      <c r="M134" s="94"/>
      <c r="N134" s="40"/>
    </row>
    <row r="135" spans="1:14">
      <c r="A135" s="93" t="s">
        <v>274</v>
      </c>
      <c r="B135" s="93" t="s">
        <v>189</v>
      </c>
      <c r="C135" s="93" t="b">
        <v>1</v>
      </c>
      <c r="D135" s="93" t="s">
        <v>181</v>
      </c>
      <c r="E135" s="93" t="s">
        <v>171</v>
      </c>
      <c r="F135" s="40" t="s">
        <v>297</v>
      </c>
      <c r="G135" s="94"/>
      <c r="H135" s="94">
        <v>0.15221957880027007</v>
      </c>
      <c r="I135" s="40" t="s">
        <v>197</v>
      </c>
      <c r="J135" s="40"/>
      <c r="K135" s="94"/>
      <c r="L135" s="40"/>
      <c r="M135" s="94"/>
      <c r="N135" s="40"/>
    </row>
    <row r="136" spans="1:14">
      <c r="A136" s="93" t="s">
        <v>274</v>
      </c>
      <c r="B136" s="93" t="s">
        <v>189</v>
      </c>
      <c r="C136" s="93" t="b">
        <v>0</v>
      </c>
      <c r="D136" s="93" t="s">
        <v>181</v>
      </c>
      <c r="E136" s="93" t="s">
        <v>175</v>
      </c>
      <c r="F136" s="40" t="s">
        <v>298</v>
      </c>
      <c r="G136" s="94"/>
      <c r="H136" s="94">
        <v>0.6166878401932645</v>
      </c>
      <c r="I136" s="40" t="s">
        <v>197</v>
      </c>
      <c r="J136" s="40"/>
      <c r="K136" s="94"/>
      <c r="L136" s="40"/>
      <c r="M136" s="94"/>
      <c r="N136" s="40"/>
    </row>
    <row r="137" spans="1:14">
      <c r="A137" s="93" t="s">
        <v>274</v>
      </c>
      <c r="B137" s="93" t="s">
        <v>189</v>
      </c>
      <c r="C137" s="93" t="b">
        <v>1</v>
      </c>
      <c r="D137" s="93" t="s">
        <v>181</v>
      </c>
      <c r="E137" s="93" t="s">
        <v>175</v>
      </c>
      <c r="F137" s="40" t="s">
        <v>299</v>
      </c>
      <c r="G137" s="94"/>
      <c r="H137" s="94">
        <v>0.6166878401932645</v>
      </c>
      <c r="I137" s="40" t="s">
        <v>197</v>
      </c>
      <c r="J137" s="40"/>
      <c r="K137" s="94"/>
      <c r="L137" s="40"/>
      <c r="M137" s="94"/>
      <c r="N137" s="40"/>
    </row>
    <row r="138" spans="1:14">
      <c r="A138" s="93" t="s">
        <v>274</v>
      </c>
      <c r="B138" s="93" t="s">
        <v>189</v>
      </c>
      <c r="C138" s="93" t="b">
        <v>0</v>
      </c>
      <c r="D138" s="93" t="s">
        <v>181</v>
      </c>
      <c r="E138" s="93" t="s">
        <v>178</v>
      </c>
      <c r="F138" s="40" t="s">
        <v>300</v>
      </c>
      <c r="G138" s="94"/>
      <c r="H138" s="94">
        <v>0.86320127877579789</v>
      </c>
      <c r="I138" s="40" t="s">
        <v>197</v>
      </c>
      <c r="J138" s="40"/>
      <c r="K138" s="94"/>
      <c r="L138" s="40"/>
      <c r="M138" s="94"/>
      <c r="N138" s="40"/>
    </row>
    <row r="139" spans="1:14">
      <c r="A139" s="93" t="s">
        <v>274</v>
      </c>
      <c r="B139" s="93" t="s">
        <v>189</v>
      </c>
      <c r="C139" s="93" t="b">
        <v>1</v>
      </c>
      <c r="D139" s="93" t="s">
        <v>181</v>
      </c>
      <c r="E139" s="93" t="s">
        <v>178</v>
      </c>
      <c r="F139" s="40" t="s">
        <v>301</v>
      </c>
      <c r="G139" s="94"/>
      <c r="H139" s="94">
        <v>0.86320127877579789</v>
      </c>
      <c r="I139" s="40" t="s">
        <v>197</v>
      </c>
      <c r="J139" s="40"/>
      <c r="K139" s="94"/>
      <c r="L139" s="40"/>
      <c r="M139" s="94"/>
      <c r="N139" s="40"/>
    </row>
    <row r="140" spans="1:14">
      <c r="A140" s="93" t="s">
        <v>274</v>
      </c>
      <c r="B140" s="93" t="s">
        <v>189</v>
      </c>
      <c r="C140" s="93" t="b">
        <v>1</v>
      </c>
      <c r="D140" s="93" t="s">
        <v>287</v>
      </c>
      <c r="E140" s="93" t="s">
        <v>171</v>
      </c>
      <c r="F140" s="40" t="s">
        <v>302</v>
      </c>
      <c r="G140" s="94"/>
      <c r="H140" s="94">
        <v>0.76326653494025309</v>
      </c>
      <c r="I140" s="40" t="s">
        <v>303</v>
      </c>
      <c r="J140" s="40"/>
      <c r="K140" s="94">
        <v>0.76326653494025309</v>
      </c>
      <c r="L140" s="40"/>
      <c r="M140" s="94"/>
      <c r="N140" s="40"/>
    </row>
    <row r="141" spans="1:14">
      <c r="A141" s="93" t="s">
        <v>274</v>
      </c>
      <c r="B141" s="93" t="s">
        <v>203</v>
      </c>
      <c r="C141" s="93" t="b">
        <v>0</v>
      </c>
      <c r="D141" s="93" t="s">
        <v>170</v>
      </c>
      <c r="E141" s="93" t="s">
        <v>171</v>
      </c>
      <c r="F141" s="40" t="s">
        <v>304</v>
      </c>
      <c r="G141" s="94"/>
      <c r="H141" s="94">
        <v>5.3241788883553298E-2</v>
      </c>
      <c r="I141" s="40" t="s">
        <v>205</v>
      </c>
      <c r="J141" s="40"/>
      <c r="K141" s="94">
        <v>0.3001381309307985</v>
      </c>
      <c r="L141" s="40"/>
      <c r="M141" s="94"/>
      <c r="N141" s="40"/>
    </row>
    <row r="142" spans="1:14">
      <c r="A142" s="93" t="s">
        <v>274</v>
      </c>
      <c r="B142" s="93" t="s">
        <v>203</v>
      </c>
      <c r="C142" s="93" t="b">
        <v>1</v>
      </c>
      <c r="D142" s="93" t="s">
        <v>170</v>
      </c>
      <c r="E142" s="93" t="s">
        <v>171</v>
      </c>
      <c r="F142" s="40" t="s">
        <v>305</v>
      </c>
      <c r="G142" s="94"/>
      <c r="H142" s="94">
        <v>5.3241788883553298E-2</v>
      </c>
      <c r="I142" s="40" t="s">
        <v>205</v>
      </c>
      <c r="J142" s="40"/>
      <c r="K142" s="94"/>
      <c r="L142" s="40"/>
      <c r="M142" s="94"/>
      <c r="N142" s="40"/>
    </row>
    <row r="143" spans="1:14">
      <c r="A143" s="93" t="s">
        <v>274</v>
      </c>
      <c r="B143" s="93" t="s">
        <v>203</v>
      </c>
      <c r="C143" s="93" t="b">
        <v>0</v>
      </c>
      <c r="D143" s="93" t="s">
        <v>170</v>
      </c>
      <c r="E143" s="93" t="s">
        <v>175</v>
      </c>
      <c r="F143" s="40" t="s">
        <v>306</v>
      </c>
      <c r="G143" s="94"/>
      <c r="H143" s="94">
        <v>0.31442646171193694</v>
      </c>
      <c r="I143" s="40" t="s">
        <v>205</v>
      </c>
      <c r="J143" s="40"/>
      <c r="K143" s="94"/>
      <c r="L143" s="40"/>
      <c r="M143" s="94"/>
      <c r="N143" s="40"/>
    </row>
    <row r="144" spans="1:14">
      <c r="A144" s="93" t="s">
        <v>274</v>
      </c>
      <c r="B144" s="93" t="s">
        <v>203</v>
      </c>
      <c r="C144" s="93" t="b">
        <v>1</v>
      </c>
      <c r="D144" s="93" t="s">
        <v>170</v>
      </c>
      <c r="E144" s="93" t="s">
        <v>175</v>
      </c>
      <c r="F144" s="40" t="s">
        <v>307</v>
      </c>
      <c r="G144" s="94"/>
      <c r="H144" s="94">
        <v>0.31442646171193694</v>
      </c>
      <c r="I144" s="40" t="s">
        <v>205</v>
      </c>
      <c r="J144" s="40"/>
      <c r="K144" s="94"/>
      <c r="L144" s="40"/>
      <c r="M144" s="94"/>
      <c r="N144" s="40"/>
    </row>
    <row r="145" spans="1:14">
      <c r="A145" s="93" t="s">
        <v>274</v>
      </c>
      <c r="B145" s="93" t="s">
        <v>203</v>
      </c>
      <c r="C145" s="93" t="b">
        <v>0</v>
      </c>
      <c r="D145" s="93" t="s">
        <v>170</v>
      </c>
      <c r="E145" s="93" t="s">
        <v>178</v>
      </c>
      <c r="F145" s="40" t="s">
        <v>308</v>
      </c>
      <c r="G145" s="94"/>
      <c r="H145" s="94">
        <v>0.5327461421969053</v>
      </c>
      <c r="I145" s="40" t="s">
        <v>205</v>
      </c>
      <c r="J145" s="40"/>
      <c r="K145" s="94"/>
      <c r="L145" s="40"/>
      <c r="M145" s="94"/>
      <c r="N145" s="40"/>
    </row>
    <row r="146" spans="1:14">
      <c r="A146" s="93" t="s">
        <v>274</v>
      </c>
      <c r="B146" s="93" t="s">
        <v>203</v>
      </c>
      <c r="C146" s="93" t="b">
        <v>1</v>
      </c>
      <c r="D146" s="93" t="s">
        <v>170</v>
      </c>
      <c r="E146" s="93" t="s">
        <v>178</v>
      </c>
      <c r="F146" s="40" t="s">
        <v>309</v>
      </c>
      <c r="G146" s="94"/>
      <c r="H146" s="94">
        <v>0.5327461421969053</v>
      </c>
      <c r="I146" s="40" t="s">
        <v>205</v>
      </c>
      <c r="J146" s="40"/>
      <c r="K146" s="94"/>
      <c r="L146" s="40"/>
      <c r="M146" s="94"/>
      <c r="N146" s="40"/>
    </row>
    <row r="147" spans="1:14">
      <c r="A147" s="93" t="s">
        <v>274</v>
      </c>
      <c r="B147" s="93" t="s">
        <v>203</v>
      </c>
      <c r="C147" s="93" t="b">
        <v>1</v>
      </c>
      <c r="D147" s="93" t="s">
        <v>181</v>
      </c>
      <c r="E147" s="93" t="s">
        <v>171</v>
      </c>
      <c r="F147" s="40" t="s">
        <v>310</v>
      </c>
      <c r="G147" s="94"/>
      <c r="H147" s="94">
        <v>0.15485935515476945</v>
      </c>
      <c r="I147" s="40" t="s">
        <v>209</v>
      </c>
      <c r="J147" s="40"/>
      <c r="K147" s="94">
        <v>0.57774437210414542</v>
      </c>
      <c r="L147" s="40"/>
      <c r="M147" s="94"/>
      <c r="N147" s="40"/>
    </row>
    <row r="148" spans="1:14">
      <c r="A148" s="93" t="s">
        <v>274</v>
      </c>
      <c r="B148" s="93" t="s">
        <v>203</v>
      </c>
      <c r="C148" s="93" t="b">
        <v>0</v>
      </c>
      <c r="D148" s="93" t="s">
        <v>181</v>
      </c>
      <c r="E148" s="93" t="s">
        <v>175</v>
      </c>
      <c r="F148" s="40" t="s">
        <v>311</v>
      </c>
      <c r="G148" s="94"/>
      <c r="H148" s="94">
        <v>0.66020664387170536</v>
      </c>
      <c r="I148" s="40" t="s">
        <v>209</v>
      </c>
      <c r="J148" s="40"/>
      <c r="K148" s="94"/>
      <c r="L148" s="40"/>
      <c r="M148" s="94"/>
      <c r="N148" s="40"/>
    </row>
    <row r="149" spans="1:14">
      <c r="A149" s="93" t="s">
        <v>274</v>
      </c>
      <c r="B149" s="93" t="s">
        <v>203</v>
      </c>
      <c r="C149" s="93" t="b">
        <v>1</v>
      </c>
      <c r="D149" s="93" t="s">
        <v>181</v>
      </c>
      <c r="E149" s="93" t="s">
        <v>175</v>
      </c>
      <c r="F149" s="40" t="s">
        <v>312</v>
      </c>
      <c r="G149" s="94"/>
      <c r="H149" s="94">
        <v>0.66020664387170536</v>
      </c>
      <c r="I149" s="40" t="s">
        <v>209</v>
      </c>
      <c r="J149" s="40"/>
      <c r="K149" s="94"/>
      <c r="L149" s="40"/>
      <c r="M149" s="94"/>
      <c r="N149" s="40"/>
    </row>
    <row r="150" spans="1:14">
      <c r="A150" s="93" t="s">
        <v>274</v>
      </c>
      <c r="B150" s="93" t="s">
        <v>203</v>
      </c>
      <c r="C150" s="93" t="b">
        <v>0</v>
      </c>
      <c r="D150" s="93" t="s">
        <v>181</v>
      </c>
      <c r="E150" s="93" t="s">
        <v>178</v>
      </c>
      <c r="F150" s="40" t="s">
        <v>313</v>
      </c>
      <c r="G150" s="94"/>
      <c r="H150" s="94">
        <v>0.91816711728596134</v>
      </c>
      <c r="I150" s="40" t="s">
        <v>209</v>
      </c>
      <c r="J150" s="40"/>
      <c r="K150" s="94"/>
      <c r="L150" s="40"/>
      <c r="M150" s="94"/>
      <c r="N150" s="40"/>
    </row>
    <row r="151" spans="1:14">
      <c r="A151" s="93" t="s">
        <v>274</v>
      </c>
      <c r="B151" s="93" t="s">
        <v>203</v>
      </c>
      <c r="C151" s="93" t="b">
        <v>1</v>
      </c>
      <c r="D151" s="93" t="s">
        <v>181</v>
      </c>
      <c r="E151" s="93" t="s">
        <v>178</v>
      </c>
      <c r="F151" s="40" t="s">
        <v>314</v>
      </c>
      <c r="G151" s="94"/>
      <c r="H151" s="94">
        <v>0.91816711728596134</v>
      </c>
      <c r="I151" s="40" t="s">
        <v>209</v>
      </c>
      <c r="J151" s="40"/>
      <c r="K151" s="94"/>
      <c r="L151" s="40"/>
      <c r="M151" s="94"/>
      <c r="N151" s="40"/>
    </row>
    <row r="152" spans="1:14">
      <c r="A152" s="93" t="s">
        <v>274</v>
      </c>
      <c r="B152" s="93" t="s">
        <v>212</v>
      </c>
      <c r="C152" s="93" t="b">
        <v>0</v>
      </c>
      <c r="D152" s="93" t="s">
        <v>170</v>
      </c>
      <c r="E152" s="93" t="s">
        <v>171</v>
      </c>
      <c r="F152" s="40" t="s">
        <v>315</v>
      </c>
      <c r="G152" s="94"/>
      <c r="H152" s="94">
        <v>9.6969708499628951E-2</v>
      </c>
      <c r="I152" s="40" t="s">
        <v>214</v>
      </c>
      <c r="J152" s="40"/>
      <c r="K152" s="94">
        <v>0.39928040810940457</v>
      </c>
      <c r="L152" s="40"/>
      <c r="M152" s="94"/>
      <c r="N152" s="40"/>
    </row>
    <row r="153" spans="1:14">
      <c r="A153" s="93" t="s">
        <v>274</v>
      </c>
      <c r="B153" s="93" t="s">
        <v>212</v>
      </c>
      <c r="C153" s="93" t="b">
        <v>1</v>
      </c>
      <c r="D153" s="93" t="s">
        <v>170</v>
      </c>
      <c r="E153" s="93" t="s">
        <v>171</v>
      </c>
      <c r="F153" s="40" t="s">
        <v>316</v>
      </c>
      <c r="G153" s="94"/>
      <c r="H153" s="94">
        <v>9.2413837110535371E-2</v>
      </c>
      <c r="I153" s="40" t="s">
        <v>214</v>
      </c>
      <c r="J153" s="40"/>
      <c r="K153" s="94"/>
      <c r="L153" s="40"/>
      <c r="M153" s="94"/>
      <c r="N153" s="40"/>
    </row>
    <row r="154" spans="1:14">
      <c r="A154" s="93" t="s">
        <v>274</v>
      </c>
      <c r="B154" s="93" t="s">
        <v>212</v>
      </c>
      <c r="C154" s="93" t="b">
        <v>0</v>
      </c>
      <c r="D154" s="93" t="s">
        <v>170</v>
      </c>
      <c r="E154" s="93" t="s">
        <v>175</v>
      </c>
      <c r="F154" s="40" t="s">
        <v>317</v>
      </c>
      <c r="G154" s="94"/>
      <c r="H154" s="94">
        <v>0.42428928122617654</v>
      </c>
      <c r="I154" s="40" t="s">
        <v>214</v>
      </c>
      <c r="J154" s="40"/>
      <c r="K154" s="94"/>
      <c r="L154" s="40"/>
      <c r="M154" s="94"/>
      <c r="N154" s="40"/>
    </row>
    <row r="155" spans="1:14">
      <c r="A155" s="93" t="s">
        <v>274</v>
      </c>
      <c r="B155" s="93" t="s">
        <v>212</v>
      </c>
      <c r="C155" s="93" t="b">
        <v>1</v>
      </c>
      <c r="D155" s="93" t="s">
        <v>170</v>
      </c>
      <c r="E155" s="93" t="s">
        <v>175</v>
      </c>
      <c r="F155" s="40" t="s">
        <v>318</v>
      </c>
      <c r="G155" s="94"/>
      <c r="H155" s="94">
        <v>0.38431525653929649</v>
      </c>
      <c r="I155" s="40" t="s">
        <v>214</v>
      </c>
      <c r="J155" s="40"/>
      <c r="K155" s="94"/>
      <c r="L155" s="40"/>
      <c r="M155" s="94"/>
      <c r="N155" s="40"/>
    </row>
    <row r="156" spans="1:14">
      <c r="A156" s="93" t="s">
        <v>274</v>
      </c>
      <c r="B156" s="93" t="s">
        <v>212</v>
      </c>
      <c r="C156" s="93" t="b">
        <v>0</v>
      </c>
      <c r="D156" s="93" t="s">
        <v>170</v>
      </c>
      <c r="E156" s="93" t="s">
        <v>178</v>
      </c>
      <c r="F156" s="40" t="s">
        <v>319</v>
      </c>
      <c r="G156" s="94"/>
      <c r="H156" s="94">
        <v>0.67658223460240829</v>
      </c>
      <c r="I156" s="40" t="s">
        <v>214</v>
      </c>
      <c r="J156" s="40"/>
      <c r="K156" s="94"/>
      <c r="L156" s="40"/>
      <c r="M156" s="94"/>
      <c r="N156" s="40"/>
    </row>
    <row r="157" spans="1:14">
      <c r="A157" s="93" t="s">
        <v>274</v>
      </c>
      <c r="B157" s="93" t="s">
        <v>212</v>
      </c>
      <c r="C157" s="93" t="b">
        <v>1</v>
      </c>
      <c r="D157" s="93" t="s">
        <v>170</v>
      </c>
      <c r="E157" s="93" t="s">
        <v>178</v>
      </c>
      <c r="F157" s="40" t="s">
        <v>320</v>
      </c>
      <c r="G157" s="94"/>
      <c r="H157" s="94">
        <v>0.61844677640115064</v>
      </c>
      <c r="I157" s="40" t="s">
        <v>214</v>
      </c>
      <c r="J157" s="40"/>
      <c r="K157" s="94"/>
      <c r="L157" s="40"/>
      <c r="M157" s="94"/>
      <c r="N157" s="40"/>
    </row>
    <row r="158" spans="1:14">
      <c r="A158" s="93" t="s">
        <v>274</v>
      </c>
      <c r="B158" s="93" t="s">
        <v>212</v>
      </c>
      <c r="C158" s="93" t="b">
        <v>1</v>
      </c>
      <c r="D158" s="93" t="s">
        <v>181</v>
      </c>
      <c r="E158" s="93" t="s">
        <v>171</v>
      </c>
      <c r="F158" s="40" t="s">
        <v>321</v>
      </c>
      <c r="G158" s="94"/>
      <c r="H158" s="94">
        <v>0.23061844066467541</v>
      </c>
      <c r="I158" s="40" t="s">
        <v>220</v>
      </c>
      <c r="J158" s="40"/>
      <c r="K158" s="94">
        <v>0.72542647774086222</v>
      </c>
      <c r="L158" s="40"/>
      <c r="M158" s="94"/>
      <c r="N158" s="40"/>
    </row>
    <row r="159" spans="1:14">
      <c r="A159" s="93" t="s">
        <v>274</v>
      </c>
      <c r="B159" s="93" t="s">
        <v>212</v>
      </c>
      <c r="C159" s="93" t="b">
        <v>0</v>
      </c>
      <c r="D159" s="93" t="s">
        <v>181</v>
      </c>
      <c r="E159" s="93" t="s">
        <v>175</v>
      </c>
      <c r="F159" s="40" t="s">
        <v>322</v>
      </c>
      <c r="G159" s="94"/>
      <c r="H159" s="94">
        <v>0.82205532078489252</v>
      </c>
      <c r="I159" s="40" t="s">
        <v>220</v>
      </c>
      <c r="J159" s="40"/>
      <c r="K159" s="94"/>
      <c r="L159" s="40"/>
      <c r="M159" s="94"/>
      <c r="N159" s="40"/>
    </row>
    <row r="160" spans="1:14">
      <c r="A160" s="93" t="s">
        <v>274</v>
      </c>
      <c r="B160" s="93" t="s">
        <v>212</v>
      </c>
      <c r="C160" s="93" t="b">
        <v>1</v>
      </c>
      <c r="D160" s="93" t="s">
        <v>181</v>
      </c>
      <c r="E160" s="93" t="s">
        <v>175</v>
      </c>
      <c r="F160" s="40" t="s">
        <v>323</v>
      </c>
      <c r="G160" s="94"/>
      <c r="H160" s="94">
        <v>0.77423886513603679</v>
      </c>
      <c r="I160" s="40" t="s">
        <v>220</v>
      </c>
      <c r="J160" s="40"/>
      <c r="K160" s="94"/>
      <c r="L160" s="40"/>
      <c r="M160" s="94"/>
      <c r="N160" s="40"/>
    </row>
    <row r="161" spans="1:14">
      <c r="A161" s="93" t="s">
        <v>274</v>
      </c>
      <c r="B161" s="93" t="s">
        <v>212</v>
      </c>
      <c r="C161" s="93" t="b">
        <v>0</v>
      </c>
      <c r="D161" s="93" t="s">
        <v>181</v>
      </c>
      <c r="E161" s="93" t="s">
        <v>178</v>
      </c>
      <c r="F161" s="40" t="s">
        <v>324</v>
      </c>
      <c r="G161" s="94"/>
      <c r="H161" s="94">
        <v>1.1236056717730187</v>
      </c>
      <c r="I161" s="40" t="s">
        <v>220</v>
      </c>
      <c r="J161" s="40"/>
      <c r="K161" s="94"/>
      <c r="L161" s="40"/>
      <c r="M161" s="94"/>
      <c r="N161" s="40"/>
    </row>
    <row r="162" spans="1:14">
      <c r="A162" s="93" t="s">
        <v>274</v>
      </c>
      <c r="B162" s="93" t="s">
        <v>212</v>
      </c>
      <c r="C162" s="93" t="b">
        <v>1</v>
      </c>
      <c r="D162" s="93" t="s">
        <v>181</v>
      </c>
      <c r="E162" s="93" t="s">
        <v>178</v>
      </c>
      <c r="F162" s="40" t="s">
        <v>325</v>
      </c>
      <c r="G162" s="94"/>
      <c r="H162" s="94">
        <v>1.0556420537443791</v>
      </c>
      <c r="I162" s="40" t="s">
        <v>220</v>
      </c>
      <c r="J162" s="40"/>
      <c r="K162" s="94"/>
      <c r="L162" s="40"/>
      <c r="M162" s="94"/>
      <c r="N162" s="40"/>
    </row>
    <row r="163" spans="1:14">
      <c r="A163" s="93" t="s">
        <v>274</v>
      </c>
      <c r="B163" s="93" t="s">
        <v>225</v>
      </c>
      <c r="C163" s="93" t="b">
        <v>0</v>
      </c>
      <c r="D163" s="93" t="s">
        <v>170</v>
      </c>
      <c r="E163" s="93" t="s">
        <v>171</v>
      </c>
      <c r="F163" s="40" t="s">
        <v>326</v>
      </c>
      <c r="G163" s="94"/>
      <c r="H163" s="94">
        <v>0.17506950079083972</v>
      </c>
      <c r="I163" s="40" t="s">
        <v>227</v>
      </c>
      <c r="J163" s="40"/>
      <c r="K163" s="94">
        <v>0.45286089377140576</v>
      </c>
      <c r="L163" s="40"/>
      <c r="M163" s="94"/>
      <c r="N163" s="40"/>
    </row>
    <row r="164" spans="1:14">
      <c r="A164" s="93" t="s">
        <v>274</v>
      </c>
      <c r="B164" s="93" t="s">
        <v>225</v>
      </c>
      <c r="C164" s="93" t="b">
        <v>1</v>
      </c>
      <c r="D164" s="93" t="s">
        <v>170</v>
      </c>
      <c r="E164" s="93" t="s">
        <v>171</v>
      </c>
      <c r="F164" s="40" t="s">
        <v>327</v>
      </c>
      <c r="G164" s="94"/>
      <c r="H164" s="94">
        <v>0.16955585041499333</v>
      </c>
      <c r="I164" s="40" t="s">
        <v>227</v>
      </c>
      <c r="J164" s="40"/>
      <c r="K164" s="94"/>
      <c r="L164" s="40"/>
      <c r="M164" s="94"/>
      <c r="N164" s="40"/>
    </row>
    <row r="165" spans="1:14">
      <c r="A165" s="93" t="s">
        <v>274</v>
      </c>
      <c r="B165" s="93" t="s">
        <v>225</v>
      </c>
      <c r="C165" s="93" t="b">
        <v>0</v>
      </c>
      <c r="D165" s="93" t="s">
        <v>170</v>
      </c>
      <c r="E165" s="93" t="s">
        <v>175</v>
      </c>
      <c r="F165" s="40" t="s">
        <v>328</v>
      </c>
      <c r="G165" s="94"/>
      <c r="H165" s="94">
        <v>0.43249963450016371</v>
      </c>
      <c r="I165" s="40" t="s">
        <v>227</v>
      </c>
      <c r="J165" s="40"/>
      <c r="K165" s="94"/>
      <c r="L165" s="40"/>
      <c r="M165" s="94"/>
      <c r="N165" s="40"/>
    </row>
    <row r="166" spans="1:14">
      <c r="A166" s="93" t="s">
        <v>274</v>
      </c>
      <c r="B166" s="93" t="s">
        <v>225</v>
      </c>
      <c r="C166" s="93" t="b">
        <v>1</v>
      </c>
      <c r="D166" s="93" t="s">
        <v>170</v>
      </c>
      <c r="E166" s="93" t="s">
        <v>175</v>
      </c>
      <c r="F166" s="40" t="s">
        <v>329</v>
      </c>
      <c r="G166" s="94"/>
      <c r="H166" s="94">
        <v>0.4008357066957457</v>
      </c>
      <c r="I166" s="40" t="s">
        <v>227</v>
      </c>
      <c r="J166" s="40"/>
      <c r="K166" s="94"/>
      <c r="L166" s="40"/>
      <c r="M166" s="94"/>
      <c r="N166" s="40"/>
    </row>
    <row r="167" spans="1:14">
      <c r="A167" s="93" t="s">
        <v>274</v>
      </c>
      <c r="B167" s="93" t="s">
        <v>225</v>
      </c>
      <c r="C167" s="93" t="b">
        <v>0</v>
      </c>
      <c r="D167" s="93" t="s">
        <v>170</v>
      </c>
      <c r="E167" s="93" t="s">
        <v>178</v>
      </c>
      <c r="F167" s="40" t="s">
        <v>330</v>
      </c>
      <c r="G167" s="94"/>
      <c r="H167" s="94">
        <v>0.75101354602321391</v>
      </c>
      <c r="I167" s="40" t="s">
        <v>227</v>
      </c>
      <c r="J167" s="40"/>
      <c r="K167" s="94"/>
      <c r="L167" s="40"/>
      <c r="M167" s="94"/>
      <c r="N167" s="40"/>
    </row>
    <row r="168" spans="1:14">
      <c r="A168" s="93" t="s">
        <v>274</v>
      </c>
      <c r="B168" s="93" t="s">
        <v>225</v>
      </c>
      <c r="C168" s="93" t="b">
        <v>1</v>
      </c>
      <c r="D168" s="93" t="s">
        <v>170</v>
      </c>
      <c r="E168" s="93" t="s">
        <v>178</v>
      </c>
      <c r="F168" s="40" t="s">
        <v>331</v>
      </c>
      <c r="G168" s="94"/>
      <c r="H168" s="94">
        <v>0.70757099267580759</v>
      </c>
      <c r="I168" s="40" t="s">
        <v>227</v>
      </c>
      <c r="J168" s="40"/>
      <c r="K168" s="94"/>
      <c r="L168" s="40"/>
      <c r="M168" s="94"/>
      <c r="N168" s="40"/>
    </row>
    <row r="169" spans="1:14">
      <c r="A169" s="93" t="s">
        <v>274</v>
      </c>
      <c r="B169" s="93" t="s">
        <v>225</v>
      </c>
      <c r="C169" s="93" t="b">
        <v>1</v>
      </c>
      <c r="D169" s="93" t="s">
        <v>181</v>
      </c>
      <c r="E169" s="93" t="s">
        <v>171</v>
      </c>
      <c r="F169" s="40" t="s">
        <v>332</v>
      </c>
      <c r="G169" s="94"/>
      <c r="H169" s="94">
        <v>0.3652024993944144</v>
      </c>
      <c r="I169" s="40" t="s">
        <v>232</v>
      </c>
      <c r="J169" s="40"/>
      <c r="K169" s="94">
        <v>0.82344040128685858</v>
      </c>
      <c r="L169" s="40"/>
      <c r="M169" s="94"/>
      <c r="N169" s="40"/>
    </row>
    <row r="170" spans="1:14">
      <c r="A170" s="93" t="s">
        <v>274</v>
      </c>
      <c r="B170" s="93" t="s">
        <v>225</v>
      </c>
      <c r="C170" s="93" t="b">
        <v>0</v>
      </c>
      <c r="D170" s="93" t="s">
        <v>181</v>
      </c>
      <c r="E170" s="93" t="s">
        <v>175</v>
      </c>
      <c r="F170" s="40" t="s">
        <v>333</v>
      </c>
      <c r="G170" s="94"/>
      <c r="H170" s="94">
        <v>0.84654672919283169</v>
      </c>
      <c r="I170" s="40" t="s">
        <v>232</v>
      </c>
      <c r="J170" s="40"/>
      <c r="K170" s="94"/>
      <c r="L170" s="40"/>
      <c r="M170" s="94"/>
      <c r="N170" s="40"/>
    </row>
    <row r="171" spans="1:14">
      <c r="A171" s="93" t="s">
        <v>274</v>
      </c>
      <c r="B171" s="93" t="s">
        <v>225</v>
      </c>
      <c r="C171" s="93" t="b">
        <v>1</v>
      </c>
      <c r="D171" s="93" t="s">
        <v>181</v>
      </c>
      <c r="E171" s="93" t="s">
        <v>175</v>
      </c>
      <c r="F171" s="40" t="s">
        <v>334</v>
      </c>
      <c r="G171" s="94"/>
      <c r="H171" s="94">
        <v>0.80033229835342556</v>
      </c>
      <c r="I171" s="40" t="s">
        <v>232</v>
      </c>
      <c r="J171" s="40"/>
      <c r="K171" s="94"/>
      <c r="L171" s="40"/>
      <c r="M171" s="94"/>
      <c r="N171" s="40"/>
    </row>
    <row r="172" spans="1:14">
      <c r="A172" s="93" t="s">
        <v>274</v>
      </c>
      <c r="B172" s="93" t="s">
        <v>225</v>
      </c>
      <c r="C172" s="93" t="b">
        <v>0</v>
      </c>
      <c r="D172" s="93" t="s">
        <v>181</v>
      </c>
      <c r="E172" s="93" t="s">
        <v>178</v>
      </c>
      <c r="F172" s="40" t="s">
        <v>335</v>
      </c>
      <c r="G172" s="94"/>
      <c r="H172" s="94">
        <v>1.2585719752733295</v>
      </c>
      <c r="I172" s="40" t="s">
        <v>232</v>
      </c>
      <c r="J172" s="40"/>
      <c r="K172" s="94"/>
      <c r="L172" s="40"/>
      <c r="M172" s="94"/>
      <c r="N172" s="40"/>
    </row>
    <row r="173" spans="1:14">
      <c r="A173" s="93" t="s">
        <v>274</v>
      </c>
      <c r="B173" s="93" t="s">
        <v>225</v>
      </c>
      <c r="C173" s="93" t="b">
        <v>1</v>
      </c>
      <c r="D173" s="93" t="s">
        <v>181</v>
      </c>
      <c r="E173" s="93" t="s">
        <v>178</v>
      </c>
      <c r="F173" s="40" t="s">
        <v>336</v>
      </c>
      <c r="G173" s="94"/>
      <c r="H173" s="94">
        <v>1.1957716881029843</v>
      </c>
      <c r="I173" s="40" t="s">
        <v>232</v>
      </c>
      <c r="J173" s="40"/>
      <c r="K173" s="94"/>
      <c r="L173" s="40"/>
      <c r="M173" s="94"/>
      <c r="N173" s="40"/>
    </row>
    <row r="174" spans="1:14">
      <c r="A174" s="93" t="s">
        <v>274</v>
      </c>
      <c r="B174" s="93" t="s">
        <v>237</v>
      </c>
      <c r="C174" s="93" t="b">
        <v>1</v>
      </c>
      <c r="D174" s="93" t="s">
        <v>170</v>
      </c>
      <c r="E174" s="93" t="s">
        <v>171</v>
      </c>
      <c r="F174" s="40" t="s">
        <v>337</v>
      </c>
      <c r="G174" s="94"/>
      <c r="H174" s="94">
        <v>0.13977191349042906</v>
      </c>
      <c r="I174" s="40" t="s">
        <v>239</v>
      </c>
      <c r="J174" s="40"/>
      <c r="K174" s="94">
        <v>0.44264048084458979</v>
      </c>
      <c r="L174" s="40"/>
      <c r="M174" s="94"/>
      <c r="N174" s="40"/>
    </row>
    <row r="175" spans="1:14">
      <c r="A175" s="93" t="s">
        <v>274</v>
      </c>
      <c r="B175" s="93" t="s">
        <v>237</v>
      </c>
      <c r="C175" s="93" t="b">
        <v>0</v>
      </c>
      <c r="D175" s="93" t="s">
        <v>170</v>
      </c>
      <c r="E175" s="93" t="s">
        <v>175</v>
      </c>
      <c r="F175" s="40" t="s">
        <v>338</v>
      </c>
      <c r="G175" s="94"/>
      <c r="H175" s="94">
        <v>0.28342886312456061</v>
      </c>
      <c r="I175" s="40" t="s">
        <v>239</v>
      </c>
      <c r="J175" s="40"/>
      <c r="K175" s="94"/>
      <c r="L175" s="40"/>
      <c r="M175" s="94"/>
      <c r="N175" s="40"/>
    </row>
    <row r="176" spans="1:14">
      <c r="A176" s="93" t="s">
        <v>274</v>
      </c>
      <c r="B176" s="93" t="s">
        <v>237</v>
      </c>
      <c r="C176" s="93" t="b">
        <v>1</v>
      </c>
      <c r="D176" s="93" t="s">
        <v>170</v>
      </c>
      <c r="E176" s="93" t="s">
        <v>175</v>
      </c>
      <c r="F176" s="40" t="s">
        <v>339</v>
      </c>
      <c r="G176" s="94"/>
      <c r="H176" s="94">
        <v>0.28052427408798419</v>
      </c>
      <c r="I176" s="40" t="s">
        <v>239</v>
      </c>
      <c r="J176" s="40"/>
      <c r="K176" s="94"/>
      <c r="L176" s="40"/>
      <c r="M176" s="94"/>
      <c r="N176" s="40"/>
    </row>
    <row r="177" spans="1:14">
      <c r="A177" s="93" t="s">
        <v>274</v>
      </c>
      <c r="B177" s="93" t="s">
        <v>237</v>
      </c>
      <c r="C177" s="93" t="b">
        <v>0</v>
      </c>
      <c r="D177" s="93" t="s">
        <v>170</v>
      </c>
      <c r="E177" s="93" t="s">
        <v>178</v>
      </c>
      <c r="F177" s="40" t="s">
        <v>340</v>
      </c>
      <c r="G177" s="94"/>
      <c r="H177" s="94">
        <v>0.90472066591877964</v>
      </c>
      <c r="I177" s="40" t="s">
        <v>239</v>
      </c>
      <c r="J177" s="40"/>
      <c r="K177" s="94"/>
      <c r="L177" s="40"/>
      <c r="M177" s="94"/>
      <c r="N177" s="40"/>
    </row>
    <row r="178" spans="1:14">
      <c r="A178" s="93" t="s">
        <v>274</v>
      </c>
      <c r="B178" s="93" t="s">
        <v>237</v>
      </c>
      <c r="C178" s="93" t="b">
        <v>1</v>
      </c>
      <c r="D178" s="93" t="s">
        <v>170</v>
      </c>
      <c r="E178" s="93" t="s">
        <v>178</v>
      </c>
      <c r="F178" s="40" t="s">
        <v>341</v>
      </c>
      <c r="G178" s="94"/>
      <c r="H178" s="94">
        <v>0.87745708676335987</v>
      </c>
      <c r="I178" s="40" t="s">
        <v>239</v>
      </c>
      <c r="J178" s="40"/>
      <c r="K178" s="94"/>
      <c r="L178" s="40"/>
      <c r="M178" s="94"/>
      <c r="N178" s="40"/>
    </row>
    <row r="179" spans="1:14">
      <c r="A179" s="93" t="s">
        <v>274</v>
      </c>
      <c r="B179" s="93" t="s">
        <v>237</v>
      </c>
      <c r="C179" s="93" t="b">
        <v>1</v>
      </c>
      <c r="D179" s="93" t="s">
        <v>181</v>
      </c>
      <c r="E179" s="93" t="s">
        <v>178</v>
      </c>
      <c r="F179" s="40" t="s">
        <v>342</v>
      </c>
      <c r="G179" s="94"/>
      <c r="H179" s="94">
        <v>1.3119508440549619</v>
      </c>
      <c r="I179" s="40" t="s">
        <v>244</v>
      </c>
      <c r="J179" s="40"/>
      <c r="K179" s="94">
        <v>1.3119508440549619</v>
      </c>
      <c r="L179" s="40"/>
      <c r="M179" s="94"/>
      <c r="N179" s="40"/>
    </row>
    <row r="180" spans="1:14">
      <c r="A180" s="93" t="s">
        <v>274</v>
      </c>
      <c r="B180" s="93" t="s">
        <v>248</v>
      </c>
      <c r="C180" s="93" t="b">
        <v>0</v>
      </c>
      <c r="D180" s="93" t="s">
        <v>170</v>
      </c>
      <c r="E180" s="93" t="s">
        <v>171</v>
      </c>
      <c r="F180" s="40" t="s">
        <v>343</v>
      </c>
      <c r="G180" s="94"/>
      <c r="H180" s="94">
        <v>9.3136332121087309E-2</v>
      </c>
      <c r="I180" s="40" t="s">
        <v>250</v>
      </c>
      <c r="J180" s="40"/>
      <c r="K180" s="94">
        <v>0.24675409341776175</v>
      </c>
      <c r="L180" s="40"/>
      <c r="M180" s="94"/>
      <c r="N180" s="40"/>
    </row>
    <row r="181" spans="1:14">
      <c r="A181" s="93" t="s">
        <v>274</v>
      </c>
      <c r="B181" s="93" t="s">
        <v>248</v>
      </c>
      <c r="C181" s="93" t="b">
        <v>1</v>
      </c>
      <c r="D181" s="93" t="s">
        <v>170</v>
      </c>
      <c r="E181" s="93" t="s">
        <v>171</v>
      </c>
      <c r="F181" s="40" t="s">
        <v>344</v>
      </c>
      <c r="G181" s="94"/>
      <c r="H181" s="94">
        <v>9.3136099290159508E-2</v>
      </c>
      <c r="I181" s="40" t="s">
        <v>250</v>
      </c>
      <c r="J181" s="40"/>
      <c r="K181" s="94"/>
      <c r="L181" s="40"/>
      <c r="M181" s="94"/>
      <c r="N181" s="40"/>
    </row>
    <row r="182" spans="1:14">
      <c r="A182" s="93" t="s">
        <v>274</v>
      </c>
      <c r="B182" s="93" t="s">
        <v>248</v>
      </c>
      <c r="C182" s="93" t="b">
        <v>0</v>
      </c>
      <c r="D182" s="93" t="s">
        <v>170</v>
      </c>
      <c r="E182" s="93" t="s">
        <v>175</v>
      </c>
      <c r="F182" s="40" t="s">
        <v>345</v>
      </c>
      <c r="G182" s="94"/>
      <c r="H182" s="94">
        <v>0.14543293135750152</v>
      </c>
      <c r="I182" s="40" t="s">
        <v>250</v>
      </c>
      <c r="J182" s="40"/>
      <c r="K182" s="94"/>
      <c r="L182" s="40"/>
      <c r="M182" s="94"/>
      <c r="N182" s="40"/>
    </row>
    <row r="183" spans="1:14">
      <c r="A183" s="93" t="s">
        <v>274</v>
      </c>
      <c r="B183" s="93" t="s">
        <v>248</v>
      </c>
      <c r="C183" s="93" t="b">
        <v>1</v>
      </c>
      <c r="D183" s="93" t="s">
        <v>170</v>
      </c>
      <c r="E183" s="93" t="s">
        <v>175</v>
      </c>
      <c r="F183" s="40" t="s">
        <v>346</v>
      </c>
      <c r="G183" s="94"/>
      <c r="H183" s="94">
        <v>0.14543258019635891</v>
      </c>
      <c r="I183" s="40" t="s">
        <v>250</v>
      </c>
      <c r="J183" s="40"/>
      <c r="K183" s="94"/>
      <c r="L183" s="40"/>
      <c r="M183" s="94"/>
      <c r="N183" s="40"/>
    </row>
    <row r="184" spans="1:14">
      <c r="A184" s="93" t="s">
        <v>274</v>
      </c>
      <c r="B184" s="93" t="s">
        <v>248</v>
      </c>
      <c r="C184" s="93" t="b">
        <v>0</v>
      </c>
      <c r="D184" s="93" t="s">
        <v>170</v>
      </c>
      <c r="E184" s="93" t="s">
        <v>178</v>
      </c>
      <c r="F184" s="40" t="s">
        <v>347</v>
      </c>
      <c r="G184" s="94"/>
      <c r="H184" s="94">
        <v>0.50169301677469647</v>
      </c>
      <c r="I184" s="40" t="s">
        <v>250</v>
      </c>
      <c r="J184" s="40"/>
      <c r="K184" s="94"/>
      <c r="L184" s="40"/>
      <c r="M184" s="94"/>
      <c r="N184" s="40"/>
    </row>
    <row r="185" spans="1:14">
      <c r="A185" s="93" t="s">
        <v>274</v>
      </c>
      <c r="B185" s="93" t="s">
        <v>248</v>
      </c>
      <c r="C185" s="93" t="b">
        <v>1</v>
      </c>
      <c r="D185" s="93" t="s">
        <v>170</v>
      </c>
      <c r="E185" s="93" t="s">
        <v>178</v>
      </c>
      <c r="F185" s="40" t="s">
        <v>348</v>
      </c>
      <c r="G185" s="94"/>
      <c r="H185" s="94">
        <v>0.50166014091620637</v>
      </c>
      <c r="I185" s="40" t="s">
        <v>250</v>
      </c>
      <c r="J185" s="40"/>
      <c r="K185" s="94"/>
      <c r="L185" s="40"/>
      <c r="M185" s="94"/>
      <c r="N185" s="40"/>
    </row>
    <row r="186" spans="1:14">
      <c r="A186" s="93" t="s">
        <v>274</v>
      </c>
      <c r="B186" s="93" t="s">
        <v>248</v>
      </c>
      <c r="C186" s="93" t="b">
        <v>1</v>
      </c>
      <c r="D186" s="93" t="s">
        <v>181</v>
      </c>
      <c r="E186" s="93" t="s">
        <v>171</v>
      </c>
      <c r="F186" s="40" t="s">
        <v>349</v>
      </c>
      <c r="G186" s="94"/>
      <c r="H186" s="94">
        <v>0.15627312053577599</v>
      </c>
      <c r="I186" s="40" t="s">
        <v>256</v>
      </c>
      <c r="J186" s="40"/>
      <c r="K186" s="94">
        <v>0.39835402082217214</v>
      </c>
      <c r="L186" s="40"/>
      <c r="M186" s="94"/>
      <c r="N186" s="40"/>
    </row>
    <row r="187" spans="1:14">
      <c r="A187" s="93" t="s">
        <v>274</v>
      </c>
      <c r="B187" s="93" t="s">
        <v>248</v>
      </c>
      <c r="C187" s="93" t="b">
        <v>0</v>
      </c>
      <c r="D187" s="93" t="s">
        <v>181</v>
      </c>
      <c r="E187" s="93" t="s">
        <v>175</v>
      </c>
      <c r="F187" s="40" t="s">
        <v>350</v>
      </c>
      <c r="G187" s="94"/>
      <c r="H187" s="94">
        <v>0.25403586624276359</v>
      </c>
      <c r="I187" s="40" t="s">
        <v>256</v>
      </c>
      <c r="J187" s="40"/>
      <c r="K187" s="94"/>
      <c r="L187" s="40"/>
      <c r="M187" s="94"/>
      <c r="N187" s="40"/>
    </row>
    <row r="188" spans="1:14">
      <c r="A188" s="93" t="s">
        <v>274</v>
      </c>
      <c r="B188" s="93" t="s">
        <v>248</v>
      </c>
      <c r="C188" s="93" t="b">
        <v>1</v>
      </c>
      <c r="D188" s="93" t="s">
        <v>181</v>
      </c>
      <c r="E188" s="93" t="s">
        <v>175</v>
      </c>
      <c r="F188" s="40" t="s">
        <v>351</v>
      </c>
      <c r="G188" s="94"/>
      <c r="H188" s="94">
        <v>0.25403540629807997</v>
      </c>
      <c r="I188" s="40" t="s">
        <v>256</v>
      </c>
      <c r="J188" s="40"/>
      <c r="K188" s="94"/>
      <c r="L188" s="40"/>
      <c r="M188" s="94"/>
      <c r="N188" s="40"/>
    </row>
    <row r="189" spans="1:14">
      <c r="A189" s="93" t="s">
        <v>274</v>
      </c>
      <c r="B189" s="93" t="s">
        <v>248</v>
      </c>
      <c r="C189" s="93" t="b">
        <v>0</v>
      </c>
      <c r="D189" s="93" t="s">
        <v>181</v>
      </c>
      <c r="E189" s="93" t="s">
        <v>178</v>
      </c>
      <c r="F189" s="40" t="s">
        <v>352</v>
      </c>
      <c r="G189" s="94"/>
      <c r="H189" s="94">
        <v>0.78475307568797692</v>
      </c>
      <c r="I189" s="40" t="s">
        <v>256</v>
      </c>
      <c r="J189" s="40"/>
      <c r="K189" s="94"/>
      <c r="L189" s="40"/>
      <c r="M189" s="94"/>
      <c r="N189" s="40"/>
    </row>
    <row r="190" spans="1:14">
      <c r="A190" s="93" t="s">
        <v>274</v>
      </c>
      <c r="B190" s="93" t="s">
        <v>248</v>
      </c>
      <c r="C190" s="93" t="b">
        <v>1</v>
      </c>
      <c r="D190" s="93" t="s">
        <v>181</v>
      </c>
      <c r="E190" s="93" t="s">
        <v>178</v>
      </c>
      <c r="F190" s="40" t="s">
        <v>353</v>
      </c>
      <c r="G190" s="94"/>
      <c r="H190" s="94">
        <v>0.78471327234874022</v>
      </c>
      <c r="I190" s="40" t="s">
        <v>256</v>
      </c>
      <c r="J190" s="40"/>
      <c r="K190" s="94"/>
      <c r="L190" s="40"/>
      <c r="M190" s="94"/>
      <c r="N190" s="40"/>
    </row>
    <row r="191" spans="1:14">
      <c r="A191" s="93" t="s">
        <v>274</v>
      </c>
      <c r="B191" s="93" t="s">
        <v>248</v>
      </c>
      <c r="C191" s="93" t="b">
        <v>1</v>
      </c>
      <c r="D191" s="93" t="s">
        <v>287</v>
      </c>
      <c r="E191" s="93" t="s">
        <v>175</v>
      </c>
      <c r="F191" s="40" t="s">
        <v>354</v>
      </c>
      <c r="G191" s="94"/>
      <c r="H191" s="94">
        <v>0.87418742961350626</v>
      </c>
      <c r="I191" s="40" t="s">
        <v>355</v>
      </c>
      <c r="J191" s="40"/>
      <c r="K191" s="94">
        <v>0.87418742961350626</v>
      </c>
      <c r="L191" s="40"/>
      <c r="M191" s="94"/>
      <c r="N191" s="40"/>
    </row>
    <row r="192" spans="1:14">
      <c r="A192" s="93" t="s">
        <v>274</v>
      </c>
      <c r="B192" s="93" t="s">
        <v>261</v>
      </c>
      <c r="C192" s="93" t="b">
        <v>0</v>
      </c>
      <c r="D192" s="93" t="s">
        <v>170</v>
      </c>
      <c r="E192" s="93" t="s">
        <v>171</v>
      </c>
      <c r="F192" s="40" t="s">
        <v>356</v>
      </c>
      <c r="G192" s="94"/>
      <c r="H192" s="94">
        <v>7.70854082672707E-2</v>
      </c>
      <c r="I192" s="40" t="s">
        <v>263</v>
      </c>
      <c r="J192" s="40"/>
      <c r="K192" s="94">
        <v>0.32632507561710383</v>
      </c>
      <c r="L192" s="40"/>
      <c r="M192" s="94"/>
      <c r="N192" s="40"/>
    </row>
    <row r="193" spans="1:14">
      <c r="A193" s="93" t="s">
        <v>274</v>
      </c>
      <c r="B193" s="93" t="s">
        <v>261</v>
      </c>
      <c r="C193" s="93" t="b">
        <v>1</v>
      </c>
      <c r="D193" s="93" t="s">
        <v>170</v>
      </c>
      <c r="E193" s="93" t="s">
        <v>171</v>
      </c>
      <c r="F193" s="40" t="s">
        <v>357</v>
      </c>
      <c r="G193" s="94"/>
      <c r="H193" s="94">
        <v>7.6687945925547285E-2</v>
      </c>
      <c r="I193" s="40" t="s">
        <v>263</v>
      </c>
      <c r="J193" s="40"/>
      <c r="K193" s="94"/>
      <c r="L193" s="40"/>
      <c r="M193" s="94"/>
      <c r="N193" s="40"/>
    </row>
    <row r="194" spans="1:14">
      <c r="A194" s="93" t="s">
        <v>274</v>
      </c>
      <c r="B194" s="93" t="s">
        <v>261</v>
      </c>
      <c r="C194" s="93" t="b">
        <v>0</v>
      </c>
      <c r="D194" s="93" t="s">
        <v>170</v>
      </c>
      <c r="E194" s="93" t="s">
        <v>175</v>
      </c>
      <c r="F194" s="40" t="s">
        <v>358</v>
      </c>
      <c r="G194" s="94"/>
      <c r="H194" s="94">
        <v>0.3000900504465685</v>
      </c>
      <c r="I194" s="40" t="s">
        <v>263</v>
      </c>
      <c r="J194" s="40"/>
      <c r="K194" s="94"/>
      <c r="L194" s="40"/>
      <c r="M194" s="94"/>
      <c r="N194" s="40"/>
    </row>
    <row r="195" spans="1:14">
      <c r="A195" s="93" t="s">
        <v>274</v>
      </c>
      <c r="B195" s="93" t="s">
        <v>261</v>
      </c>
      <c r="C195" s="93" t="b">
        <v>1</v>
      </c>
      <c r="D195" s="93" t="s">
        <v>170</v>
      </c>
      <c r="E195" s="93" t="s">
        <v>175</v>
      </c>
      <c r="F195" s="40" t="s">
        <v>359</v>
      </c>
      <c r="G195" s="94"/>
      <c r="H195" s="94">
        <v>0.29709732340348982</v>
      </c>
      <c r="I195" s="40" t="s">
        <v>263</v>
      </c>
      <c r="J195" s="40"/>
      <c r="K195" s="94"/>
      <c r="L195" s="40"/>
      <c r="M195" s="94"/>
      <c r="N195" s="40"/>
    </row>
    <row r="196" spans="1:14">
      <c r="A196" s="93" t="s">
        <v>274</v>
      </c>
      <c r="B196" s="93" t="s">
        <v>261</v>
      </c>
      <c r="C196" s="93" t="b">
        <v>0</v>
      </c>
      <c r="D196" s="93" t="s">
        <v>170</v>
      </c>
      <c r="E196" s="93" t="s">
        <v>178</v>
      </c>
      <c r="F196" s="40" t="s">
        <v>360</v>
      </c>
      <c r="G196" s="94"/>
      <c r="H196" s="94">
        <v>0.60179976813747238</v>
      </c>
      <c r="I196" s="40" t="s">
        <v>263</v>
      </c>
      <c r="J196" s="40"/>
      <c r="K196" s="94"/>
      <c r="L196" s="40"/>
      <c r="M196" s="94"/>
      <c r="N196" s="40"/>
    </row>
    <row r="197" spans="1:14">
      <c r="A197" s="93" t="s">
        <v>274</v>
      </c>
      <c r="B197" s="93" t="s">
        <v>261</v>
      </c>
      <c r="C197" s="93" t="b">
        <v>1</v>
      </c>
      <c r="D197" s="93" t="s">
        <v>170</v>
      </c>
      <c r="E197" s="93" t="s">
        <v>178</v>
      </c>
      <c r="F197" s="40" t="s">
        <v>361</v>
      </c>
      <c r="G197" s="94"/>
      <c r="H197" s="94">
        <v>0.59629491335518137</v>
      </c>
      <c r="I197" s="40" t="s">
        <v>263</v>
      </c>
      <c r="J197" s="40"/>
      <c r="K197" s="94"/>
      <c r="L197" s="40"/>
      <c r="M197" s="94"/>
      <c r="N197" s="40"/>
    </row>
    <row r="198" spans="1:14">
      <c r="A198" s="93" t="s">
        <v>274</v>
      </c>
      <c r="B198" s="93" t="s">
        <v>261</v>
      </c>
      <c r="C198" s="93" t="b">
        <v>1</v>
      </c>
      <c r="D198" s="93" t="s">
        <v>181</v>
      </c>
      <c r="E198" s="93" t="s">
        <v>171</v>
      </c>
      <c r="F198" s="40" t="s">
        <v>362</v>
      </c>
      <c r="G198" s="94"/>
      <c r="H198" s="94">
        <v>0.18074680563787043</v>
      </c>
      <c r="I198" s="40" t="s">
        <v>269</v>
      </c>
      <c r="J198" s="40"/>
      <c r="K198" s="94">
        <v>0.46964320039234847</v>
      </c>
      <c r="L198" s="40"/>
      <c r="M198" s="94"/>
      <c r="N198" s="40"/>
    </row>
    <row r="199" spans="1:14">
      <c r="A199" s="93" t="s">
        <v>274</v>
      </c>
      <c r="B199" s="93" t="s">
        <v>261</v>
      </c>
      <c r="C199" s="93" t="b">
        <v>0</v>
      </c>
      <c r="D199" s="93" t="s">
        <v>181</v>
      </c>
      <c r="E199" s="93" t="s">
        <v>175</v>
      </c>
      <c r="F199" s="40" t="s">
        <v>363</v>
      </c>
      <c r="G199" s="94"/>
      <c r="H199" s="94">
        <v>0.61590119442900348</v>
      </c>
      <c r="I199" s="40" t="s">
        <v>269</v>
      </c>
      <c r="J199" s="40"/>
      <c r="K199" s="94"/>
      <c r="L199" s="40"/>
      <c r="M199" s="94"/>
      <c r="N199" s="40"/>
    </row>
    <row r="200" spans="1:14">
      <c r="A200" s="93" t="s">
        <v>274</v>
      </c>
      <c r="B200" s="93" t="s">
        <v>261</v>
      </c>
      <c r="C200" s="93" t="b">
        <v>1</v>
      </c>
      <c r="D200" s="93" t="s">
        <v>181</v>
      </c>
      <c r="E200" s="93" t="s">
        <v>175</v>
      </c>
      <c r="F200" s="40" t="s">
        <v>364</v>
      </c>
      <c r="G200" s="94"/>
      <c r="H200" s="94">
        <v>0.61228160111017149</v>
      </c>
      <c r="I200" s="40" t="s">
        <v>269</v>
      </c>
      <c r="J200" s="40"/>
      <c r="K200" s="94"/>
      <c r="L200" s="40"/>
      <c r="M200" s="94"/>
      <c r="N200" s="40"/>
    </row>
    <row r="201" spans="1:14">
      <c r="A201" s="93" t="s">
        <v>274</v>
      </c>
      <c r="B201" s="93" t="s">
        <v>261</v>
      </c>
      <c r="C201" s="93" t="b">
        <v>0</v>
      </c>
      <c r="D201" s="93" t="s">
        <v>181</v>
      </c>
      <c r="E201" s="93" t="s">
        <v>178</v>
      </c>
      <c r="F201" s="40" t="s">
        <v>365</v>
      </c>
      <c r="G201" s="94"/>
      <c r="H201" s="94">
        <v>1.0099664167078888</v>
      </c>
      <c r="I201" s="40" t="s">
        <v>269</v>
      </c>
      <c r="J201" s="40"/>
      <c r="K201" s="94"/>
      <c r="L201" s="40"/>
      <c r="M201" s="94"/>
      <c r="N201" s="40"/>
    </row>
    <row r="202" spans="1:14">
      <c r="A202" s="93" t="s">
        <v>274</v>
      </c>
      <c r="B202" s="93" t="s">
        <v>261</v>
      </c>
      <c r="C202" s="93" t="b">
        <v>1</v>
      </c>
      <c r="D202" s="93" t="s">
        <v>181</v>
      </c>
      <c r="E202" s="93" t="s">
        <v>178</v>
      </c>
      <c r="F202" s="40" t="s">
        <v>366</v>
      </c>
      <c r="G202" s="94"/>
      <c r="H202" s="94">
        <v>1.0034338173314477</v>
      </c>
      <c r="I202" s="40" t="s">
        <v>269</v>
      </c>
      <c r="J202" s="40"/>
      <c r="K202" s="94"/>
      <c r="L202" s="40"/>
      <c r="M202" s="94"/>
      <c r="N202" s="40"/>
    </row>
    <row r="203" spans="1:14">
      <c r="A203" s="93" t="s">
        <v>274</v>
      </c>
      <c r="B203" s="93" t="s">
        <v>169</v>
      </c>
      <c r="C203" s="93" t="b">
        <v>0</v>
      </c>
      <c r="D203" s="93" t="s">
        <v>170</v>
      </c>
      <c r="E203" s="93" t="s">
        <v>171</v>
      </c>
      <c r="F203" s="40" t="s">
        <v>275</v>
      </c>
      <c r="G203" s="94"/>
      <c r="H203" s="94">
        <v>0.17869023323683919</v>
      </c>
      <c r="I203" s="40" t="s">
        <v>173</v>
      </c>
      <c r="J203" s="40"/>
      <c r="K203" s="94">
        <v>0.94819564921099764</v>
      </c>
      <c r="L203" s="40"/>
      <c r="M203" s="94"/>
      <c r="N203" s="40"/>
    </row>
    <row r="204" spans="1:14">
      <c r="A204" s="93" t="s">
        <v>274</v>
      </c>
      <c r="B204" s="93" t="s">
        <v>169</v>
      </c>
      <c r="C204" s="93" t="b">
        <v>1</v>
      </c>
      <c r="D204" s="93" t="s">
        <v>170</v>
      </c>
      <c r="E204" s="93" t="s">
        <v>171</v>
      </c>
      <c r="F204" s="40" t="s">
        <v>276</v>
      </c>
      <c r="G204" s="94"/>
      <c r="H204" s="94">
        <v>0.1786595106255616</v>
      </c>
      <c r="I204" s="40" t="s">
        <v>173</v>
      </c>
      <c r="J204" s="40"/>
      <c r="K204" s="94"/>
      <c r="L204" s="40"/>
      <c r="M204" s="94"/>
      <c r="N204" s="40"/>
    </row>
    <row r="205" spans="1:14">
      <c r="A205" s="93" t="s">
        <v>274</v>
      </c>
      <c r="B205" s="93" t="s">
        <v>169</v>
      </c>
      <c r="C205" s="93" t="b">
        <v>0</v>
      </c>
      <c r="D205" s="93" t="s">
        <v>170</v>
      </c>
      <c r="E205" s="93" t="s">
        <v>175</v>
      </c>
      <c r="F205" s="40" t="s">
        <v>277</v>
      </c>
      <c r="G205" s="94"/>
      <c r="H205" s="94">
        <v>1.0082322924428881</v>
      </c>
      <c r="I205" s="40" t="s">
        <v>173</v>
      </c>
      <c r="J205" s="40"/>
      <c r="K205" s="94"/>
      <c r="L205" s="40"/>
      <c r="M205" s="94"/>
      <c r="N205" s="40"/>
    </row>
    <row r="206" spans="1:14">
      <c r="A206" s="93" t="s">
        <v>274</v>
      </c>
      <c r="B206" s="93" t="s">
        <v>169</v>
      </c>
      <c r="C206" s="93" t="b">
        <v>1</v>
      </c>
      <c r="D206" s="93" t="s">
        <v>170</v>
      </c>
      <c r="E206" s="93" t="s">
        <v>175</v>
      </c>
      <c r="F206" s="40" t="s">
        <v>278</v>
      </c>
      <c r="G206" s="94"/>
      <c r="H206" s="94">
        <v>1.0080262248104712</v>
      </c>
      <c r="I206" s="40" t="s">
        <v>173</v>
      </c>
      <c r="J206" s="40"/>
      <c r="K206" s="94"/>
      <c r="L206" s="40"/>
      <c r="M206" s="94"/>
      <c r="N206" s="40"/>
    </row>
    <row r="207" spans="1:14">
      <c r="A207" s="93" t="s">
        <v>274</v>
      </c>
      <c r="B207" s="93" t="s">
        <v>169</v>
      </c>
      <c r="C207" s="93" t="b">
        <v>0</v>
      </c>
      <c r="D207" s="93" t="s">
        <v>170</v>
      </c>
      <c r="E207" s="93" t="s">
        <v>178</v>
      </c>
      <c r="F207" s="40" t="s">
        <v>279</v>
      </c>
      <c r="G207" s="94"/>
      <c r="H207" s="94">
        <v>1.6576644219532657</v>
      </c>
      <c r="I207" s="40" t="s">
        <v>173</v>
      </c>
      <c r="J207" s="40"/>
      <c r="K207" s="94"/>
      <c r="L207" s="40"/>
      <c r="M207" s="94"/>
      <c r="N207" s="40"/>
    </row>
    <row r="208" spans="1:14">
      <c r="A208" s="93" t="s">
        <v>274</v>
      </c>
      <c r="B208" s="93" t="s">
        <v>169</v>
      </c>
      <c r="C208" s="93" t="b">
        <v>1</v>
      </c>
      <c r="D208" s="93" t="s">
        <v>170</v>
      </c>
      <c r="E208" s="93" t="s">
        <v>178</v>
      </c>
      <c r="F208" s="40" t="s">
        <v>280</v>
      </c>
      <c r="G208" s="94"/>
      <c r="H208" s="94">
        <v>1.6572621543897081</v>
      </c>
      <c r="I208" s="40" t="s">
        <v>173</v>
      </c>
      <c r="J208" s="40"/>
      <c r="K208" s="94"/>
      <c r="L208" s="40"/>
      <c r="M208" s="94"/>
      <c r="N208" s="40"/>
    </row>
    <row r="209" spans="1:14">
      <c r="A209" s="93" t="s">
        <v>274</v>
      </c>
      <c r="B209" s="93" t="s">
        <v>169</v>
      </c>
      <c r="C209" s="93" t="b">
        <v>0</v>
      </c>
      <c r="D209" s="93" t="s">
        <v>181</v>
      </c>
      <c r="E209" s="93" t="s">
        <v>171</v>
      </c>
      <c r="F209" s="40" t="s">
        <v>281</v>
      </c>
      <c r="G209" s="94"/>
      <c r="H209" s="94">
        <v>0.5171954450578431</v>
      </c>
      <c r="I209" s="40" t="s">
        <v>183</v>
      </c>
      <c r="J209" s="40"/>
      <c r="K209" s="94">
        <v>1.8691899989122076</v>
      </c>
      <c r="L209" s="40"/>
      <c r="M209" s="94"/>
      <c r="N209" s="40"/>
    </row>
    <row r="210" spans="1:14">
      <c r="A210" s="93" t="s">
        <v>274</v>
      </c>
      <c r="B210" s="93" t="s">
        <v>169</v>
      </c>
      <c r="C210" s="93" t="b">
        <v>1</v>
      </c>
      <c r="D210" s="93" t="s">
        <v>181</v>
      </c>
      <c r="E210" s="93" t="s">
        <v>171</v>
      </c>
      <c r="F210" s="40" t="s">
        <v>282</v>
      </c>
      <c r="G210" s="94"/>
      <c r="H210" s="94">
        <v>0.51713864993076375</v>
      </c>
      <c r="I210" s="40" t="s">
        <v>183</v>
      </c>
      <c r="J210" s="40"/>
      <c r="K210" s="94"/>
      <c r="L210" s="40"/>
      <c r="M210" s="94"/>
      <c r="N210" s="40"/>
    </row>
    <row r="211" spans="1:14">
      <c r="A211" s="93" t="s">
        <v>274</v>
      </c>
      <c r="B211" s="93" t="s">
        <v>169</v>
      </c>
      <c r="C211" s="93" t="b">
        <v>0</v>
      </c>
      <c r="D211" s="93" t="s">
        <v>181</v>
      </c>
      <c r="E211" s="93" t="s">
        <v>175</v>
      </c>
      <c r="F211" s="40" t="s">
        <v>283</v>
      </c>
      <c r="G211" s="94"/>
      <c r="H211" s="94">
        <v>2.1699933228558574</v>
      </c>
      <c r="I211" s="40" t="s">
        <v>183</v>
      </c>
      <c r="J211" s="40"/>
      <c r="K211" s="94"/>
      <c r="L211" s="40"/>
      <c r="M211" s="94"/>
      <c r="N211" s="40"/>
    </row>
    <row r="212" spans="1:14">
      <c r="A212" s="93" t="s">
        <v>274</v>
      </c>
      <c r="B212" s="93" t="s">
        <v>169</v>
      </c>
      <c r="C212" s="93" t="b">
        <v>1</v>
      </c>
      <c r="D212" s="93" t="s">
        <v>181</v>
      </c>
      <c r="E212" s="93" t="s">
        <v>175</v>
      </c>
      <c r="F212" s="40" t="s">
        <v>284</v>
      </c>
      <c r="G212" s="94"/>
      <c r="H212" s="94">
        <v>2.1697179922680654</v>
      </c>
      <c r="I212" s="40" t="s">
        <v>183</v>
      </c>
      <c r="J212" s="40"/>
      <c r="K212" s="94"/>
      <c r="L212" s="40"/>
      <c r="M212" s="94"/>
      <c r="N212" s="40"/>
    </row>
    <row r="213" spans="1:14">
      <c r="A213" s="93" t="s">
        <v>274</v>
      </c>
      <c r="B213" s="93" t="s">
        <v>169</v>
      </c>
      <c r="C213" s="93" t="b">
        <v>0</v>
      </c>
      <c r="D213" s="93" t="s">
        <v>181</v>
      </c>
      <c r="E213" s="93" t="s">
        <v>178</v>
      </c>
      <c r="F213" s="40" t="s">
        <v>285</v>
      </c>
      <c r="G213" s="94"/>
      <c r="H213" s="94">
        <v>2.9203812288229223</v>
      </c>
      <c r="I213" s="40" t="s">
        <v>183</v>
      </c>
      <c r="J213" s="40"/>
      <c r="K213" s="94"/>
      <c r="L213" s="40"/>
      <c r="M213" s="94"/>
      <c r="N213" s="40"/>
    </row>
    <row r="214" spans="1:14">
      <c r="A214" s="93" t="s">
        <v>274</v>
      </c>
      <c r="B214" s="93" t="s">
        <v>169</v>
      </c>
      <c r="C214" s="93" t="b">
        <v>1</v>
      </c>
      <c r="D214" s="93" t="s">
        <v>181</v>
      </c>
      <c r="E214" s="93" t="s">
        <v>178</v>
      </c>
      <c r="F214" s="40" t="s">
        <v>286</v>
      </c>
      <c r="G214" s="94"/>
      <c r="H214" s="94">
        <v>2.9198615723810448</v>
      </c>
      <c r="I214" s="40" t="s">
        <v>183</v>
      </c>
      <c r="J214" s="40"/>
      <c r="K214" s="94"/>
      <c r="L214" s="40"/>
      <c r="M214" s="94"/>
      <c r="N214" s="40"/>
    </row>
    <row r="215" spans="1:14">
      <c r="A215" s="93" t="s">
        <v>274</v>
      </c>
      <c r="B215" s="93" t="s">
        <v>169</v>
      </c>
      <c r="C215" s="93" t="b">
        <v>1</v>
      </c>
      <c r="D215" s="93" t="s">
        <v>287</v>
      </c>
      <c r="E215" s="93" t="s">
        <v>171</v>
      </c>
      <c r="F215" s="40" t="s">
        <v>288</v>
      </c>
      <c r="G215" s="94"/>
      <c r="H215" s="94">
        <v>2.5271891499440993</v>
      </c>
      <c r="I215" s="40" t="s">
        <v>289</v>
      </c>
      <c r="J215" s="40"/>
      <c r="K215" s="94">
        <v>2.5271891499440993</v>
      </c>
      <c r="L215" s="40"/>
      <c r="M215" s="94"/>
      <c r="N215" s="40"/>
    </row>
    <row r="216" spans="1:14">
      <c r="A216" s="93" t="s">
        <v>274</v>
      </c>
      <c r="B216" s="93" t="s">
        <v>189</v>
      </c>
      <c r="C216" s="93" t="b">
        <v>0</v>
      </c>
      <c r="D216" s="93" t="s">
        <v>170</v>
      </c>
      <c r="E216" s="93" t="s">
        <v>171</v>
      </c>
      <c r="F216" s="40" t="s">
        <v>290</v>
      </c>
      <c r="G216" s="94"/>
      <c r="H216" s="94">
        <v>7.306322493817427E-2</v>
      </c>
      <c r="I216" s="40" t="s">
        <v>191</v>
      </c>
      <c r="J216" s="40"/>
      <c r="K216" s="94">
        <v>0.38715393296104805</v>
      </c>
      <c r="L216" s="94"/>
      <c r="M216" s="94"/>
      <c r="N216" s="40"/>
    </row>
    <row r="217" spans="1:14">
      <c r="A217" s="93" t="s">
        <v>274</v>
      </c>
      <c r="B217" s="93" t="s">
        <v>189</v>
      </c>
      <c r="C217" s="93" t="b">
        <v>1</v>
      </c>
      <c r="D217" s="93" t="s">
        <v>170</v>
      </c>
      <c r="E217" s="93" t="s">
        <v>171</v>
      </c>
      <c r="F217" s="40" t="s">
        <v>291</v>
      </c>
      <c r="G217" s="94"/>
      <c r="H217" s="94">
        <v>7.306322493817427E-2</v>
      </c>
      <c r="I217" s="40" t="s">
        <v>191</v>
      </c>
      <c r="J217" s="40"/>
      <c r="K217" s="94"/>
      <c r="L217" s="94"/>
      <c r="M217" s="94"/>
      <c r="N217" s="40"/>
    </row>
    <row r="218" spans="1:14">
      <c r="A218" s="93" t="s">
        <v>274</v>
      </c>
      <c r="B218" s="93" t="s">
        <v>189</v>
      </c>
      <c r="C218" s="93" t="b">
        <v>0</v>
      </c>
      <c r="D218" s="93" t="s">
        <v>170</v>
      </c>
      <c r="E218" s="93" t="s">
        <v>175</v>
      </c>
      <c r="F218" s="40" t="s">
        <v>292</v>
      </c>
      <c r="G218" s="94"/>
      <c r="H218" s="94">
        <v>0.40242138787359016</v>
      </c>
      <c r="I218" s="40" t="s">
        <v>191</v>
      </c>
      <c r="J218" s="40"/>
      <c r="K218" s="94"/>
      <c r="L218" s="94"/>
      <c r="M218" s="94"/>
      <c r="N218" s="40"/>
    </row>
    <row r="219" spans="1:14">
      <c r="A219" s="93" t="s">
        <v>274</v>
      </c>
      <c r="B219" s="93" t="s">
        <v>189</v>
      </c>
      <c r="C219" s="93" t="b">
        <v>1</v>
      </c>
      <c r="D219" s="93" t="s">
        <v>170</v>
      </c>
      <c r="E219" s="93" t="s">
        <v>175</v>
      </c>
      <c r="F219" s="40" t="s">
        <v>293</v>
      </c>
      <c r="G219" s="94"/>
      <c r="H219" s="94">
        <v>0.40242138787359016</v>
      </c>
      <c r="I219" s="40" t="s">
        <v>191</v>
      </c>
      <c r="J219" s="40"/>
      <c r="K219" s="94"/>
      <c r="L219" s="94"/>
      <c r="M219" s="94"/>
      <c r="N219" s="40"/>
    </row>
    <row r="220" spans="1:14">
      <c r="A220" s="93" t="s">
        <v>274</v>
      </c>
      <c r="B220" s="93" t="s">
        <v>189</v>
      </c>
      <c r="C220" s="93" t="b">
        <v>0</v>
      </c>
      <c r="D220" s="93" t="s">
        <v>170</v>
      </c>
      <c r="E220" s="93" t="s">
        <v>178</v>
      </c>
      <c r="F220" s="40" t="s">
        <v>294</v>
      </c>
      <c r="G220" s="94"/>
      <c r="H220" s="94">
        <v>0.68597718607137981</v>
      </c>
      <c r="I220" s="40" t="s">
        <v>191</v>
      </c>
      <c r="J220" s="40"/>
      <c r="K220" s="94"/>
      <c r="L220" s="94"/>
      <c r="M220" s="94"/>
      <c r="N220" s="40"/>
    </row>
    <row r="221" spans="1:14">
      <c r="A221" s="93" t="s">
        <v>274</v>
      </c>
      <c r="B221" s="93" t="s">
        <v>189</v>
      </c>
      <c r="C221" s="93" t="b">
        <v>1</v>
      </c>
      <c r="D221" s="93" t="s">
        <v>170</v>
      </c>
      <c r="E221" s="93" t="s">
        <v>178</v>
      </c>
      <c r="F221" s="40" t="s">
        <v>295</v>
      </c>
      <c r="G221" s="94"/>
      <c r="H221" s="94">
        <v>0.68597718607137981</v>
      </c>
      <c r="I221" s="40" t="s">
        <v>191</v>
      </c>
      <c r="J221" s="40"/>
      <c r="K221" s="94">
        <v>0.74155257181027012</v>
      </c>
      <c r="L221" s="94"/>
      <c r="M221" s="94"/>
      <c r="N221" s="40"/>
    </row>
    <row r="222" spans="1:14">
      <c r="A222" s="93" t="s">
        <v>274</v>
      </c>
      <c r="B222" s="93" t="s">
        <v>189</v>
      </c>
      <c r="C222" s="93" t="b">
        <v>0</v>
      </c>
      <c r="D222" s="93" t="s">
        <v>181</v>
      </c>
      <c r="E222" s="93" t="s">
        <v>171</v>
      </c>
      <c r="F222" s="40" t="s">
        <v>296</v>
      </c>
      <c r="G222" s="94"/>
      <c r="H222" s="94">
        <v>0.20748401186788407</v>
      </c>
      <c r="I222" s="40" t="s">
        <v>197</v>
      </c>
      <c r="J222" s="94"/>
      <c r="K222" s="94"/>
      <c r="L222" s="94"/>
      <c r="M222" s="94"/>
      <c r="N222" s="40"/>
    </row>
    <row r="223" spans="1:14">
      <c r="A223" s="93" t="s">
        <v>274</v>
      </c>
      <c r="B223" s="93" t="s">
        <v>189</v>
      </c>
      <c r="C223" s="93" t="b">
        <v>1</v>
      </c>
      <c r="D223" s="93" t="s">
        <v>181</v>
      </c>
      <c r="E223" s="93" t="s">
        <v>171</v>
      </c>
      <c r="F223" s="40" t="s">
        <v>297</v>
      </c>
      <c r="G223" s="94"/>
      <c r="H223" s="94">
        <v>0.20748401186788407</v>
      </c>
      <c r="I223" s="40" t="s">
        <v>197</v>
      </c>
      <c r="J223" s="94"/>
      <c r="K223" s="94"/>
      <c r="L223" s="94"/>
      <c r="M223" s="94"/>
      <c r="N223" s="40"/>
    </row>
    <row r="224" spans="1:14">
      <c r="A224" s="93" t="s">
        <v>274</v>
      </c>
      <c r="B224" s="93" t="s">
        <v>189</v>
      </c>
      <c r="C224" s="93" t="b">
        <v>0</v>
      </c>
      <c r="D224" s="93" t="s">
        <v>181</v>
      </c>
      <c r="E224" s="93" t="s">
        <v>175</v>
      </c>
      <c r="F224" s="40" t="s">
        <v>298</v>
      </c>
      <c r="G224" s="94"/>
      <c r="H224" s="94">
        <v>0.84058087771565992</v>
      </c>
      <c r="I224" s="40" t="s">
        <v>197</v>
      </c>
      <c r="J224" s="94"/>
      <c r="K224" s="94"/>
      <c r="L224" s="94"/>
      <c r="M224" s="94"/>
      <c r="N224" s="40"/>
    </row>
    <row r="225" spans="1:14">
      <c r="A225" s="93" t="s">
        <v>274</v>
      </c>
      <c r="B225" s="93" t="s">
        <v>189</v>
      </c>
      <c r="C225" s="93" t="b">
        <v>1</v>
      </c>
      <c r="D225" s="93" t="s">
        <v>181</v>
      </c>
      <c r="E225" s="93" t="s">
        <v>175</v>
      </c>
      <c r="F225" s="40" t="s">
        <v>299</v>
      </c>
      <c r="G225" s="94"/>
      <c r="H225" s="94">
        <v>0.84058087771565992</v>
      </c>
      <c r="I225" s="40" t="s">
        <v>197</v>
      </c>
      <c r="J225" s="94"/>
      <c r="K225" s="94"/>
      <c r="L225" s="94"/>
      <c r="M225" s="94"/>
      <c r="N225" s="40"/>
    </row>
    <row r="226" spans="1:14">
      <c r="A226" s="93" t="s">
        <v>274</v>
      </c>
      <c r="B226" s="93" t="s">
        <v>189</v>
      </c>
      <c r="C226" s="93" t="b">
        <v>0</v>
      </c>
      <c r="D226" s="93" t="s">
        <v>181</v>
      </c>
      <c r="E226" s="93" t="s">
        <v>178</v>
      </c>
      <c r="F226" s="40" t="s">
        <v>300</v>
      </c>
      <c r="G226" s="94"/>
      <c r="H226" s="94">
        <v>1.176592825847266</v>
      </c>
      <c r="I226" s="40" t="s">
        <v>197</v>
      </c>
      <c r="J226" s="94"/>
      <c r="K226" s="94"/>
      <c r="L226" s="94"/>
      <c r="M226" s="94"/>
      <c r="N226" s="40"/>
    </row>
    <row r="227" spans="1:14">
      <c r="A227" s="93" t="s">
        <v>274</v>
      </c>
      <c r="B227" s="93" t="s">
        <v>189</v>
      </c>
      <c r="C227" s="93" t="b">
        <v>1</v>
      </c>
      <c r="D227" s="93" t="s">
        <v>181</v>
      </c>
      <c r="E227" s="93" t="s">
        <v>178</v>
      </c>
      <c r="F227" s="40" t="s">
        <v>301</v>
      </c>
      <c r="G227" s="94"/>
      <c r="H227" s="94">
        <v>1.176592825847266</v>
      </c>
      <c r="I227" s="40" t="s">
        <v>197</v>
      </c>
      <c r="J227" s="94"/>
      <c r="K227" s="94"/>
      <c r="L227" s="94"/>
      <c r="M227" s="94"/>
      <c r="N227" s="40"/>
    </row>
    <row r="228" spans="1:14">
      <c r="A228" s="93" t="s">
        <v>274</v>
      </c>
      <c r="B228" s="93" t="s">
        <v>189</v>
      </c>
      <c r="C228" s="93" t="b">
        <v>1</v>
      </c>
      <c r="D228" s="93" t="s">
        <v>287</v>
      </c>
      <c r="E228" s="93" t="s">
        <v>171</v>
      </c>
      <c r="F228" s="40" t="s">
        <v>302</v>
      </c>
      <c r="G228" s="94"/>
      <c r="H228" s="94">
        <v>1.0403760412561411</v>
      </c>
      <c r="I228" s="40" t="s">
        <v>303</v>
      </c>
      <c r="J228" s="94"/>
      <c r="K228" s="94">
        <v>1.0403760412561411</v>
      </c>
      <c r="L228" s="94"/>
      <c r="M228" s="94"/>
      <c r="N228" s="40"/>
    </row>
    <row r="229" spans="1:14">
      <c r="A229" s="93" t="s">
        <v>274</v>
      </c>
      <c r="B229" s="93" t="s">
        <v>203</v>
      </c>
      <c r="C229" s="93" t="b">
        <v>0</v>
      </c>
      <c r="D229" s="93" t="s">
        <v>170</v>
      </c>
      <c r="E229" s="93" t="s">
        <v>171</v>
      </c>
      <c r="F229" s="40" t="s">
        <v>304</v>
      </c>
      <c r="G229" s="94"/>
      <c r="H229" s="94">
        <v>3.3996747360358084E-2</v>
      </c>
      <c r="I229" s="40" t="s">
        <v>205</v>
      </c>
      <c r="J229" s="94"/>
      <c r="K229" s="94">
        <v>0.19164871099243666</v>
      </c>
      <c r="L229" s="94"/>
      <c r="M229" s="94"/>
      <c r="N229" s="40"/>
    </row>
    <row r="230" spans="1:14">
      <c r="A230" s="93" t="s">
        <v>274</v>
      </c>
      <c r="B230" s="93" t="s">
        <v>203</v>
      </c>
      <c r="C230" s="93" t="b">
        <v>1</v>
      </c>
      <c r="D230" s="93" t="s">
        <v>170</v>
      </c>
      <c r="E230" s="93" t="s">
        <v>171</v>
      </c>
      <c r="F230" s="40" t="s">
        <v>305</v>
      </c>
      <c r="G230" s="94"/>
      <c r="H230" s="94">
        <v>3.3996747360358084E-2</v>
      </c>
      <c r="I230" s="40" t="s">
        <v>205</v>
      </c>
      <c r="J230" s="94"/>
      <c r="K230" s="94"/>
      <c r="L230" s="94"/>
      <c r="M230" s="94"/>
      <c r="N230" s="40"/>
    </row>
    <row r="231" spans="1:14">
      <c r="A231" s="93" t="s">
        <v>274</v>
      </c>
      <c r="B231" s="93" t="s">
        <v>203</v>
      </c>
      <c r="C231" s="93" t="b">
        <v>0</v>
      </c>
      <c r="D231" s="93" t="s">
        <v>170</v>
      </c>
      <c r="E231" s="93" t="s">
        <v>175</v>
      </c>
      <c r="F231" s="40" t="s">
        <v>306</v>
      </c>
      <c r="G231" s="94"/>
      <c r="H231" s="94">
        <v>0.20077231074281324</v>
      </c>
      <c r="I231" s="40" t="s">
        <v>205</v>
      </c>
      <c r="J231" s="94"/>
      <c r="K231" s="94"/>
      <c r="L231" s="94"/>
      <c r="M231" s="94"/>
      <c r="N231" s="40"/>
    </row>
    <row r="232" spans="1:14">
      <c r="A232" s="93" t="s">
        <v>274</v>
      </c>
      <c r="B232" s="93" t="s">
        <v>203</v>
      </c>
      <c r="C232" s="93" t="b">
        <v>1</v>
      </c>
      <c r="D232" s="93" t="s">
        <v>170</v>
      </c>
      <c r="E232" s="93" t="s">
        <v>175</v>
      </c>
      <c r="F232" s="40" t="s">
        <v>307</v>
      </c>
      <c r="G232" s="94"/>
      <c r="H232" s="94">
        <v>0.20077231074281324</v>
      </c>
      <c r="I232" s="40" t="s">
        <v>205</v>
      </c>
      <c r="J232" s="94"/>
      <c r="K232" s="94"/>
      <c r="L232" s="94"/>
      <c r="M232" s="94"/>
      <c r="N232" s="40"/>
    </row>
    <row r="233" spans="1:14">
      <c r="A233" s="93" t="s">
        <v>274</v>
      </c>
      <c r="B233" s="93" t="s">
        <v>203</v>
      </c>
      <c r="C233" s="93" t="b">
        <v>0</v>
      </c>
      <c r="D233" s="93" t="s">
        <v>170</v>
      </c>
      <c r="E233" s="93" t="s">
        <v>178</v>
      </c>
      <c r="F233" s="40" t="s">
        <v>308</v>
      </c>
      <c r="G233" s="94"/>
      <c r="H233" s="94">
        <v>0.34017707487413862</v>
      </c>
      <c r="I233" s="40" t="s">
        <v>205</v>
      </c>
      <c r="J233" s="94"/>
      <c r="K233" s="94"/>
      <c r="L233" s="94"/>
      <c r="M233" s="94"/>
      <c r="N233" s="40"/>
    </row>
    <row r="234" spans="1:14">
      <c r="A234" s="93" t="s">
        <v>274</v>
      </c>
      <c r="B234" s="93" t="s">
        <v>203</v>
      </c>
      <c r="C234" s="93" t="b">
        <v>1</v>
      </c>
      <c r="D234" s="93" t="s">
        <v>170</v>
      </c>
      <c r="E234" s="93" t="s">
        <v>178</v>
      </c>
      <c r="F234" s="40" t="s">
        <v>309</v>
      </c>
      <c r="G234" s="94"/>
      <c r="H234" s="94">
        <v>0.34017707487413862</v>
      </c>
      <c r="I234" s="40" t="s">
        <v>205</v>
      </c>
      <c r="J234" s="94"/>
      <c r="K234" s="94"/>
      <c r="L234" s="94"/>
      <c r="M234" s="94"/>
      <c r="N234" s="40"/>
    </row>
    <row r="235" spans="1:14">
      <c r="A235" s="93" t="s">
        <v>274</v>
      </c>
      <c r="B235" s="93" t="s">
        <v>203</v>
      </c>
      <c r="C235" s="93" t="b">
        <v>1</v>
      </c>
      <c r="D235" s="93" t="s">
        <v>181</v>
      </c>
      <c r="E235" s="93" t="s">
        <v>171</v>
      </c>
      <c r="F235" s="40" t="s">
        <v>310</v>
      </c>
      <c r="G235" s="94"/>
      <c r="H235" s="94">
        <v>9.8883123275577314E-2</v>
      </c>
      <c r="I235" s="40" t="s">
        <v>209</v>
      </c>
      <c r="J235" s="94"/>
      <c r="K235" s="94">
        <v>0.36891002104102283</v>
      </c>
      <c r="L235" s="94"/>
      <c r="M235" s="94"/>
      <c r="N235" s="40"/>
    </row>
    <row r="236" spans="1:14">
      <c r="A236" s="93" t="s">
        <v>274</v>
      </c>
      <c r="B236" s="93" t="s">
        <v>203</v>
      </c>
      <c r="C236" s="93" t="b">
        <v>0</v>
      </c>
      <c r="D236" s="93" t="s">
        <v>181</v>
      </c>
      <c r="E236" s="93" t="s">
        <v>175</v>
      </c>
      <c r="F236" s="40" t="s">
        <v>311</v>
      </c>
      <c r="G236" s="94"/>
      <c r="H236" s="94">
        <v>0.42156507037030877</v>
      </c>
      <c r="I236" s="40" t="s">
        <v>209</v>
      </c>
      <c r="J236" s="94"/>
      <c r="K236" s="94"/>
      <c r="L236" s="94"/>
      <c r="M236" s="94"/>
    </row>
    <row r="237" spans="1:14">
      <c r="A237" s="93" t="s">
        <v>274</v>
      </c>
      <c r="B237" s="93" t="s">
        <v>203</v>
      </c>
      <c r="C237" s="93" t="b">
        <v>1</v>
      </c>
      <c r="D237" s="93" t="s">
        <v>181</v>
      </c>
      <c r="E237" s="93" t="s">
        <v>175</v>
      </c>
      <c r="F237" s="40" t="s">
        <v>312</v>
      </c>
      <c r="G237" s="94"/>
      <c r="H237" s="94">
        <v>0.42156507037030877</v>
      </c>
      <c r="I237" s="40" t="s">
        <v>209</v>
      </c>
      <c r="J237" s="94"/>
      <c r="K237" s="94"/>
      <c r="L237" s="94"/>
      <c r="M237" s="94"/>
    </row>
    <row r="238" spans="1:14">
      <c r="A238" s="93" t="s">
        <v>274</v>
      </c>
      <c r="B238" s="93" t="s">
        <v>203</v>
      </c>
      <c r="C238" s="93" t="b">
        <v>0</v>
      </c>
      <c r="D238" s="93" t="s">
        <v>181</v>
      </c>
      <c r="E238" s="93" t="s">
        <v>178</v>
      </c>
      <c r="F238" s="40" t="s">
        <v>313</v>
      </c>
      <c r="G238" s="94"/>
      <c r="H238" s="94">
        <v>0.58628186947718242</v>
      </c>
      <c r="I238" s="40" t="s">
        <v>209</v>
      </c>
      <c r="J238" s="94"/>
      <c r="K238" s="94"/>
      <c r="L238" s="94"/>
      <c r="M238" s="94"/>
    </row>
    <row r="239" spans="1:14">
      <c r="A239" s="93" t="s">
        <v>274</v>
      </c>
      <c r="B239" s="93" t="s">
        <v>203</v>
      </c>
      <c r="C239" s="93" t="b">
        <v>1</v>
      </c>
      <c r="D239" s="93" t="s">
        <v>181</v>
      </c>
      <c r="E239" s="93" t="s">
        <v>178</v>
      </c>
      <c r="F239" s="40" t="s">
        <v>314</v>
      </c>
      <c r="G239" s="94"/>
      <c r="H239" s="94">
        <v>0.58628186947718242</v>
      </c>
      <c r="I239" s="40" t="s">
        <v>209</v>
      </c>
      <c r="J239" s="94"/>
      <c r="K239" s="94"/>
      <c r="L239" s="94"/>
      <c r="M239" s="94"/>
    </row>
    <row r="240" spans="1:14">
      <c r="A240" s="93" t="s">
        <v>274</v>
      </c>
      <c r="B240" s="93" t="s">
        <v>212</v>
      </c>
      <c r="C240" s="93" t="b">
        <v>0</v>
      </c>
      <c r="D240" s="93" t="s">
        <v>170</v>
      </c>
      <c r="E240" s="93" t="s">
        <v>171</v>
      </c>
      <c r="F240" s="40" t="s">
        <v>315</v>
      </c>
      <c r="G240" s="94"/>
      <c r="H240" s="94">
        <v>0.13757963419294489</v>
      </c>
      <c r="I240" s="40" t="s">
        <v>214</v>
      </c>
      <c r="J240" s="94"/>
      <c r="K240" s="94">
        <v>0.56649497392592274</v>
      </c>
      <c r="L240" s="94"/>
      <c r="M240" s="94"/>
    </row>
    <row r="241" spans="1:13">
      <c r="A241" s="93" t="s">
        <v>274</v>
      </c>
      <c r="B241" s="93" t="s">
        <v>212</v>
      </c>
      <c r="C241" s="93" t="b">
        <v>1</v>
      </c>
      <c r="D241" s="93" t="s">
        <v>170</v>
      </c>
      <c r="E241" s="93" t="s">
        <v>171</v>
      </c>
      <c r="F241" s="40" t="s">
        <v>316</v>
      </c>
      <c r="G241" s="94"/>
      <c r="H241" s="94">
        <v>0.13111581029536148</v>
      </c>
      <c r="I241" s="40" t="s">
        <v>214</v>
      </c>
      <c r="J241" s="94"/>
      <c r="K241" s="94"/>
      <c r="L241" s="94"/>
      <c r="M241" s="94"/>
    </row>
    <row r="242" spans="1:13">
      <c r="A242" s="93" t="s">
        <v>274</v>
      </c>
      <c r="B242" s="93" t="s">
        <v>212</v>
      </c>
      <c r="C242" s="93" t="b">
        <v>0</v>
      </c>
      <c r="D242" s="93" t="s">
        <v>170</v>
      </c>
      <c r="E242" s="93" t="s">
        <v>175</v>
      </c>
      <c r="F242" s="40" t="s">
        <v>317</v>
      </c>
      <c r="G242" s="94"/>
      <c r="H242" s="94">
        <v>0.60197730823650208</v>
      </c>
      <c r="I242" s="40" t="s">
        <v>214</v>
      </c>
      <c r="J242" s="94"/>
      <c r="K242" s="94"/>
      <c r="L242" s="94"/>
      <c r="M242" s="94"/>
    </row>
    <row r="243" spans="1:13">
      <c r="A243" s="93" t="s">
        <v>274</v>
      </c>
      <c r="B243" s="93" t="s">
        <v>212</v>
      </c>
      <c r="C243" s="93" t="b">
        <v>1</v>
      </c>
      <c r="D243" s="93" t="s">
        <v>170</v>
      </c>
      <c r="E243" s="93" t="s">
        <v>175</v>
      </c>
      <c r="F243" s="40" t="s">
        <v>318</v>
      </c>
      <c r="G243" s="94"/>
      <c r="H243" s="94">
        <v>0.54526256938935225</v>
      </c>
      <c r="I243" s="40" t="s">
        <v>214</v>
      </c>
      <c r="J243" s="94"/>
      <c r="K243" s="94"/>
      <c r="L243" s="94"/>
      <c r="M243" s="94"/>
    </row>
    <row r="244" spans="1:13">
      <c r="A244" s="93" t="s">
        <v>274</v>
      </c>
      <c r="B244" s="93" t="s">
        <v>212</v>
      </c>
      <c r="C244" s="93" t="b">
        <v>0</v>
      </c>
      <c r="D244" s="93" t="s">
        <v>170</v>
      </c>
      <c r="E244" s="93" t="s">
        <v>178</v>
      </c>
      <c r="F244" s="40" t="s">
        <v>319</v>
      </c>
      <c r="G244" s="94"/>
      <c r="H244" s="94">
        <v>0.9599279793483213</v>
      </c>
      <c r="I244" s="40" t="s">
        <v>214</v>
      </c>
      <c r="J244" s="94"/>
      <c r="K244" s="94"/>
      <c r="L244" s="94"/>
      <c r="M244" s="94"/>
    </row>
    <row r="245" spans="1:13">
      <c r="A245" s="93" t="s">
        <v>274</v>
      </c>
      <c r="B245" s="93" t="s">
        <v>212</v>
      </c>
      <c r="C245" s="93" t="b">
        <v>1</v>
      </c>
      <c r="D245" s="93" t="s">
        <v>170</v>
      </c>
      <c r="E245" s="93" t="s">
        <v>178</v>
      </c>
      <c r="F245" s="40" t="s">
        <v>320</v>
      </c>
      <c r="G245" s="94"/>
      <c r="H245" s="94">
        <v>0.87744598371564519</v>
      </c>
      <c r="I245" s="40" t="s">
        <v>214</v>
      </c>
      <c r="J245" s="94"/>
      <c r="K245" s="94"/>
      <c r="L245" s="94"/>
      <c r="M245" s="94"/>
    </row>
    <row r="246" spans="1:13">
      <c r="A246" s="93" t="s">
        <v>274</v>
      </c>
      <c r="B246" s="93" t="s">
        <v>212</v>
      </c>
      <c r="C246" s="93" t="b">
        <v>1</v>
      </c>
      <c r="D246" s="93" t="s">
        <v>181</v>
      </c>
      <c r="E246" s="93" t="s">
        <v>171</v>
      </c>
      <c r="F246" s="40" t="s">
        <v>321</v>
      </c>
      <c r="G246" s="94"/>
      <c r="H246" s="94">
        <v>0.32719909336341685</v>
      </c>
      <c r="I246" s="40" t="s">
        <v>220</v>
      </c>
      <c r="J246" s="94"/>
      <c r="K246" s="94">
        <v>1.0292276937374334</v>
      </c>
      <c r="L246" s="94"/>
      <c r="M246" s="94"/>
    </row>
    <row r="247" spans="1:13">
      <c r="A247" s="93" t="s">
        <v>274</v>
      </c>
      <c r="B247" s="93" t="s">
        <v>212</v>
      </c>
      <c r="C247" s="93" t="b">
        <v>0</v>
      </c>
      <c r="D247" s="93" t="s">
        <v>181</v>
      </c>
      <c r="E247" s="93" t="s">
        <v>175</v>
      </c>
      <c r="F247" s="40" t="s">
        <v>322</v>
      </c>
      <c r="G247" s="94"/>
      <c r="H247" s="94">
        <v>1.166323711495763</v>
      </c>
      <c r="I247" s="40" t="s">
        <v>220</v>
      </c>
      <c r="J247" s="94"/>
      <c r="K247" s="94"/>
      <c r="L247" s="94"/>
      <c r="M247" s="94"/>
    </row>
    <row r="248" spans="1:13">
      <c r="A248" s="93" t="s">
        <v>274</v>
      </c>
      <c r="B248" s="93" t="s">
        <v>212</v>
      </c>
      <c r="C248" s="93" t="b">
        <v>1</v>
      </c>
      <c r="D248" s="93" t="s">
        <v>181</v>
      </c>
      <c r="E248" s="93" t="s">
        <v>175</v>
      </c>
      <c r="F248" s="40" t="s">
        <v>323</v>
      </c>
      <c r="G248" s="94"/>
      <c r="H248" s="94">
        <v>1.0984822115226254</v>
      </c>
      <c r="I248" s="40" t="s">
        <v>220</v>
      </c>
      <c r="J248" s="94"/>
      <c r="K248" s="94"/>
      <c r="L248" s="94"/>
      <c r="M248" s="94"/>
    </row>
    <row r="249" spans="1:13">
      <c r="A249" s="93" t="s">
        <v>274</v>
      </c>
      <c r="B249" s="93" t="s">
        <v>212</v>
      </c>
      <c r="C249" s="93" t="b">
        <v>0</v>
      </c>
      <c r="D249" s="93" t="s">
        <v>181</v>
      </c>
      <c r="E249" s="93" t="s">
        <v>178</v>
      </c>
      <c r="F249" s="40" t="s">
        <v>324</v>
      </c>
      <c r="G249" s="94"/>
      <c r="H249" s="94">
        <v>1.5941602763531204</v>
      </c>
      <c r="I249" s="40" t="s">
        <v>220</v>
      </c>
      <c r="J249" s="94"/>
      <c r="K249" s="94"/>
      <c r="L249" s="94"/>
      <c r="M249" s="94"/>
    </row>
    <row r="250" spans="1:13">
      <c r="A250" s="93" t="s">
        <v>274</v>
      </c>
      <c r="B250" s="93" t="s">
        <v>212</v>
      </c>
      <c r="C250" s="93" t="b">
        <v>1</v>
      </c>
      <c r="D250" s="93" t="s">
        <v>181</v>
      </c>
      <c r="E250" s="93" t="s">
        <v>178</v>
      </c>
      <c r="F250" s="40" t="s">
        <v>325</v>
      </c>
      <c r="G250" s="94"/>
      <c r="H250" s="94">
        <v>1.4977341877169454</v>
      </c>
      <c r="I250" s="40" t="s">
        <v>220</v>
      </c>
      <c r="J250" s="94"/>
      <c r="K250" s="94"/>
      <c r="L250" s="94"/>
      <c r="M250" s="94"/>
    </row>
    <row r="251" spans="1:13">
      <c r="A251" s="93" t="s">
        <v>274</v>
      </c>
      <c r="B251" s="93" t="s">
        <v>225</v>
      </c>
      <c r="C251" s="93" t="b">
        <v>0</v>
      </c>
      <c r="D251" s="93" t="s">
        <v>170</v>
      </c>
      <c r="E251" s="93" t="s">
        <v>171</v>
      </c>
      <c r="F251" s="40" t="s">
        <v>326</v>
      </c>
      <c r="G251" s="94"/>
      <c r="H251" s="94">
        <v>0.16168839245013861</v>
      </c>
      <c r="I251" s="40" t="s">
        <v>227</v>
      </c>
      <c r="J251" s="94"/>
      <c r="K251" s="94">
        <v>0.41824732227295441</v>
      </c>
      <c r="L251" s="94"/>
      <c r="M251" s="94"/>
    </row>
    <row r="252" spans="1:13">
      <c r="A252" s="93" t="s">
        <v>274</v>
      </c>
      <c r="B252" s="93" t="s">
        <v>225</v>
      </c>
      <c r="C252" s="93" t="b">
        <v>1</v>
      </c>
      <c r="D252" s="93" t="s">
        <v>170</v>
      </c>
      <c r="E252" s="93" t="s">
        <v>171</v>
      </c>
      <c r="F252" s="40" t="s">
        <v>327</v>
      </c>
      <c r="G252" s="94"/>
      <c r="H252" s="94">
        <v>0.15659616758072631</v>
      </c>
      <c r="I252" s="40" t="s">
        <v>227</v>
      </c>
      <c r="J252" s="94"/>
      <c r="K252" s="94"/>
      <c r="L252" s="94"/>
      <c r="M252" s="94"/>
    </row>
    <row r="253" spans="1:13">
      <c r="A253" s="93" t="s">
        <v>274</v>
      </c>
      <c r="B253" s="93" t="s">
        <v>225</v>
      </c>
      <c r="C253" s="93" t="b">
        <v>0</v>
      </c>
      <c r="D253" s="93" t="s">
        <v>170</v>
      </c>
      <c r="E253" s="93" t="s">
        <v>175</v>
      </c>
      <c r="F253" s="40" t="s">
        <v>328</v>
      </c>
      <c r="G253" s="94"/>
      <c r="H253" s="94">
        <v>0.39944233759569264</v>
      </c>
      <c r="I253" s="40" t="s">
        <v>227</v>
      </c>
      <c r="J253" s="94"/>
      <c r="K253" s="94"/>
      <c r="L253" s="94"/>
      <c r="M253" s="94"/>
    </row>
    <row r="254" spans="1:13">
      <c r="A254" s="93" t="s">
        <v>274</v>
      </c>
      <c r="B254" s="93" t="s">
        <v>225</v>
      </c>
      <c r="C254" s="93" t="b">
        <v>1</v>
      </c>
      <c r="D254" s="93" t="s">
        <v>170</v>
      </c>
      <c r="E254" s="93" t="s">
        <v>175</v>
      </c>
      <c r="F254" s="40" t="s">
        <v>329</v>
      </c>
      <c r="G254" s="94"/>
      <c r="H254" s="94">
        <v>0.37019858261708999</v>
      </c>
      <c r="I254" s="40" t="s">
        <v>227</v>
      </c>
      <c r="J254" s="94"/>
      <c r="K254" s="94"/>
      <c r="L254" s="94"/>
      <c r="M254" s="94"/>
    </row>
    <row r="255" spans="1:13">
      <c r="A255" s="93" t="s">
        <v>274</v>
      </c>
      <c r="B255" s="93" t="s">
        <v>225</v>
      </c>
      <c r="C255" s="93" t="b">
        <v>0</v>
      </c>
      <c r="D255" s="93" t="s">
        <v>170</v>
      </c>
      <c r="E255" s="93" t="s">
        <v>178</v>
      </c>
      <c r="F255" s="40" t="s">
        <v>330</v>
      </c>
      <c r="G255" s="94"/>
      <c r="H255" s="94">
        <v>0.69361123677303205</v>
      </c>
      <c r="I255" s="40" t="s">
        <v>227</v>
      </c>
      <c r="J255" s="94"/>
      <c r="K255" s="94"/>
      <c r="L255" s="94"/>
      <c r="M255" s="94"/>
    </row>
    <row r="256" spans="1:13">
      <c r="A256" s="93" t="s">
        <v>274</v>
      </c>
      <c r="B256" s="93" t="s">
        <v>225</v>
      </c>
      <c r="C256" s="93" t="b">
        <v>1</v>
      </c>
      <c r="D256" s="93" t="s">
        <v>170</v>
      </c>
      <c r="E256" s="93" t="s">
        <v>178</v>
      </c>
      <c r="F256" s="40" t="s">
        <v>331</v>
      </c>
      <c r="G256" s="94"/>
      <c r="H256" s="94">
        <v>0.65348913336300707</v>
      </c>
      <c r="I256" s="40" t="s">
        <v>227</v>
      </c>
      <c r="J256" s="94"/>
      <c r="K256" s="94"/>
      <c r="L256" s="94"/>
      <c r="M256" s="94"/>
    </row>
    <row r="257" spans="1:13">
      <c r="A257" s="93" t="s">
        <v>274</v>
      </c>
      <c r="B257" s="93" t="s">
        <v>225</v>
      </c>
      <c r="C257" s="93" t="b">
        <v>1</v>
      </c>
      <c r="D257" s="93" t="s">
        <v>181</v>
      </c>
      <c r="E257" s="93" t="s">
        <v>171</v>
      </c>
      <c r="F257" s="40" t="s">
        <v>332</v>
      </c>
      <c r="G257" s="94"/>
      <c r="H257" s="94">
        <v>0.33728893256172032</v>
      </c>
      <c r="I257" s="40" t="s">
        <v>232</v>
      </c>
      <c r="J257" s="94"/>
      <c r="K257" s="94">
        <v>0.76050228144327703</v>
      </c>
      <c r="L257" s="94"/>
      <c r="M257" s="94"/>
    </row>
    <row r="258" spans="1:13">
      <c r="A258" s="93" t="s">
        <v>274</v>
      </c>
      <c r="B258" s="93" t="s">
        <v>225</v>
      </c>
      <c r="C258" s="93" t="b">
        <v>0</v>
      </c>
      <c r="D258" s="93" t="s">
        <v>181</v>
      </c>
      <c r="E258" s="93" t="s">
        <v>175</v>
      </c>
      <c r="F258" s="40" t="s">
        <v>333</v>
      </c>
      <c r="G258" s="94"/>
      <c r="H258" s="94">
        <v>0.78184252059210557</v>
      </c>
      <c r="I258" s="40" t="s">
        <v>232</v>
      </c>
      <c r="J258" s="94"/>
      <c r="K258" s="94"/>
      <c r="L258" s="94"/>
      <c r="M258" s="94"/>
    </row>
    <row r="259" spans="1:13">
      <c r="A259" s="93" t="s">
        <v>274</v>
      </c>
      <c r="B259" s="93" t="s">
        <v>225</v>
      </c>
      <c r="C259" s="93" t="b">
        <v>1</v>
      </c>
      <c r="D259" s="93" t="s">
        <v>181</v>
      </c>
      <c r="E259" s="93" t="s">
        <v>175</v>
      </c>
      <c r="F259" s="40" t="s">
        <v>334</v>
      </c>
      <c r="G259" s="94"/>
      <c r="H259" s="94">
        <v>0.7391604029378771</v>
      </c>
      <c r="I259" s="40" t="s">
        <v>232</v>
      </c>
      <c r="J259" s="94"/>
      <c r="K259" s="94"/>
      <c r="L259" s="94"/>
      <c r="M259" s="94"/>
    </row>
    <row r="260" spans="1:13">
      <c r="A260" s="93" t="s">
        <v>274</v>
      </c>
      <c r="B260" s="93" t="s">
        <v>225</v>
      </c>
      <c r="C260" s="93" t="b">
        <v>0</v>
      </c>
      <c r="D260" s="93" t="s">
        <v>181</v>
      </c>
      <c r="E260" s="93" t="s">
        <v>178</v>
      </c>
      <c r="F260" s="40" t="s">
        <v>335</v>
      </c>
      <c r="G260" s="94"/>
      <c r="H260" s="94">
        <v>1.1623753911760051</v>
      </c>
      <c r="I260" s="40" t="s">
        <v>232</v>
      </c>
      <c r="J260" s="94"/>
      <c r="K260" s="94"/>
      <c r="L260" s="94"/>
      <c r="M260" s="94"/>
    </row>
    <row r="261" spans="1:13">
      <c r="A261" s="93" t="s">
        <v>274</v>
      </c>
      <c r="B261" s="93" t="s">
        <v>225</v>
      </c>
      <c r="C261" s="93" t="b">
        <v>1</v>
      </c>
      <c r="D261" s="93" t="s">
        <v>181</v>
      </c>
      <c r="E261" s="93" t="s">
        <v>178</v>
      </c>
      <c r="F261" s="40" t="s">
        <v>336</v>
      </c>
      <c r="G261" s="94"/>
      <c r="H261" s="94">
        <v>1.1043751259549854</v>
      </c>
      <c r="I261" s="40" t="s">
        <v>232</v>
      </c>
      <c r="J261" s="94"/>
      <c r="K261" s="94"/>
      <c r="L261" s="94"/>
      <c r="M261" s="94"/>
    </row>
    <row r="262" spans="1:13">
      <c r="A262" s="93" t="s">
        <v>274</v>
      </c>
      <c r="B262" s="93" t="s">
        <v>237</v>
      </c>
      <c r="C262" s="93" t="b">
        <v>1</v>
      </c>
      <c r="D262" s="93" t="s">
        <v>170</v>
      </c>
      <c r="E262" s="93" t="s">
        <v>171</v>
      </c>
      <c r="F262" s="40" t="s">
        <v>337</v>
      </c>
      <c r="G262" s="94"/>
      <c r="H262" s="94">
        <v>0.26463185531866273</v>
      </c>
      <c r="I262" s="40" t="s">
        <v>239</v>
      </c>
      <c r="J262" s="94"/>
      <c r="K262" s="94">
        <v>0.83805657917868992</v>
      </c>
      <c r="L262" s="94"/>
      <c r="M262" s="94"/>
    </row>
    <row r="263" spans="1:13">
      <c r="A263" s="93" t="s">
        <v>274</v>
      </c>
      <c r="B263" s="93" t="s">
        <v>237</v>
      </c>
      <c r="C263" s="93" t="b">
        <v>0</v>
      </c>
      <c r="D263" s="93" t="s">
        <v>170</v>
      </c>
      <c r="E263" s="93" t="s">
        <v>175</v>
      </c>
      <c r="F263" s="40" t="s">
        <v>338</v>
      </c>
      <c r="G263" s="94"/>
      <c r="H263" s="94">
        <v>0.53661929658455831</v>
      </c>
      <c r="I263" s="40" t="s">
        <v>239</v>
      </c>
      <c r="J263" s="94"/>
      <c r="K263" s="94"/>
      <c r="L263" s="94"/>
      <c r="M263" s="94"/>
    </row>
    <row r="264" spans="1:13">
      <c r="A264" s="93" t="s">
        <v>274</v>
      </c>
      <c r="B264" s="93" t="s">
        <v>237</v>
      </c>
      <c r="C264" s="93" t="b">
        <v>1</v>
      </c>
      <c r="D264" s="93" t="s">
        <v>170</v>
      </c>
      <c r="E264" s="93" t="s">
        <v>175</v>
      </c>
      <c r="F264" s="40" t="s">
        <v>339</v>
      </c>
      <c r="G264" s="94"/>
      <c r="H264" s="94">
        <v>0.53112000301053064</v>
      </c>
      <c r="I264" s="40" t="s">
        <v>239</v>
      </c>
      <c r="J264" s="94"/>
      <c r="K264" s="94"/>
      <c r="L264" s="94"/>
      <c r="M264" s="94"/>
    </row>
    <row r="265" spans="1:13">
      <c r="A265" s="93" t="s">
        <v>274</v>
      </c>
      <c r="B265" s="93" t="s">
        <v>237</v>
      </c>
      <c r="C265" s="93" t="b">
        <v>0</v>
      </c>
      <c r="D265" s="93" t="s">
        <v>170</v>
      </c>
      <c r="E265" s="93" t="s">
        <v>178</v>
      </c>
      <c r="F265" s="40" t="s">
        <v>340</v>
      </c>
      <c r="G265" s="94"/>
      <c r="H265" s="94">
        <v>1.7129185856328488</v>
      </c>
      <c r="I265" s="40" t="s">
        <v>239</v>
      </c>
      <c r="J265" s="94"/>
      <c r="K265" s="94"/>
      <c r="L265" s="94"/>
      <c r="M265" s="94"/>
    </row>
    <row r="266" spans="1:13">
      <c r="A266" s="93" t="s">
        <v>274</v>
      </c>
      <c r="B266" s="93" t="s">
        <v>237</v>
      </c>
      <c r="C266" s="93" t="b">
        <v>1</v>
      </c>
      <c r="D266" s="93" t="s">
        <v>170</v>
      </c>
      <c r="E266" s="93" t="s">
        <v>178</v>
      </c>
      <c r="F266" s="40" t="s">
        <v>341</v>
      </c>
      <c r="G266" s="94"/>
      <c r="H266" s="94">
        <v>1.6613001212764889</v>
      </c>
      <c r="I266" s="40" t="s">
        <v>239</v>
      </c>
      <c r="J266" s="94"/>
      <c r="K266" s="94"/>
      <c r="L266" s="94"/>
      <c r="M266" s="94"/>
    </row>
    <row r="267" spans="1:13">
      <c r="A267" s="93" t="s">
        <v>274</v>
      </c>
      <c r="B267" s="93" t="s">
        <v>237</v>
      </c>
      <c r="C267" s="93" t="b">
        <v>1</v>
      </c>
      <c r="D267" s="93" t="s">
        <v>181</v>
      </c>
      <c r="E267" s="93" t="s">
        <v>178</v>
      </c>
      <c r="F267" s="40" t="s">
        <v>342</v>
      </c>
      <c r="G267" s="94"/>
      <c r="H267" s="94">
        <v>2.4839324101613851</v>
      </c>
      <c r="I267" s="40" t="s">
        <v>244</v>
      </c>
      <c r="J267" s="94"/>
      <c r="K267" s="94">
        <v>2.4839324101613851</v>
      </c>
      <c r="L267" s="94"/>
      <c r="M267" s="94"/>
    </row>
    <row r="268" spans="1:13">
      <c r="A268" s="93" t="s">
        <v>274</v>
      </c>
      <c r="B268" s="93" t="s">
        <v>248</v>
      </c>
      <c r="C268" s="93" t="b">
        <v>0</v>
      </c>
      <c r="D268" s="93" t="s">
        <v>170</v>
      </c>
      <c r="E268" s="93" t="s">
        <v>171</v>
      </c>
      <c r="F268" s="40" t="s">
        <v>343</v>
      </c>
      <c r="G268" s="94"/>
      <c r="H268" s="94">
        <v>4.7161391105900896E-2</v>
      </c>
      <c r="I268" s="40" t="s">
        <v>250</v>
      </c>
      <c r="J268" s="94"/>
      <c r="K268" s="94">
        <v>0.1249487288325609</v>
      </c>
      <c r="L268" s="94"/>
      <c r="M268" s="94"/>
    </row>
    <row r="269" spans="1:13">
      <c r="A269" s="93" t="s">
        <v>274</v>
      </c>
      <c r="B269" s="93" t="s">
        <v>248</v>
      </c>
      <c r="C269" s="93" t="b">
        <v>1</v>
      </c>
      <c r="D269" s="93" t="s">
        <v>170</v>
      </c>
      <c r="E269" s="93" t="s">
        <v>171</v>
      </c>
      <c r="F269" s="40" t="s">
        <v>344</v>
      </c>
      <c r="G269" s="94"/>
      <c r="H269" s="94">
        <v>4.716127320743746E-2</v>
      </c>
      <c r="I269" s="40" t="s">
        <v>250</v>
      </c>
      <c r="J269" s="94"/>
      <c r="K269" s="94"/>
      <c r="L269" s="94"/>
      <c r="M269" s="94"/>
    </row>
    <row r="270" spans="1:13">
      <c r="A270" s="93" t="s">
        <v>274</v>
      </c>
      <c r="B270" s="93" t="s">
        <v>248</v>
      </c>
      <c r="C270" s="93" t="b">
        <v>0</v>
      </c>
      <c r="D270" s="93" t="s">
        <v>170</v>
      </c>
      <c r="E270" s="93" t="s">
        <v>175</v>
      </c>
      <c r="F270" s="40" t="s">
        <v>345</v>
      </c>
      <c r="G270" s="94"/>
      <c r="H270" s="94">
        <v>7.3642790082301721E-2</v>
      </c>
      <c r="I270" s="40" t="s">
        <v>250</v>
      </c>
      <c r="J270" s="94"/>
      <c r="K270" s="94"/>
      <c r="L270" s="94"/>
      <c r="M270" s="94"/>
    </row>
    <row r="271" spans="1:13">
      <c r="A271" s="93" t="s">
        <v>274</v>
      </c>
      <c r="B271" s="93" t="s">
        <v>248</v>
      </c>
      <c r="C271" s="93" t="b">
        <v>1</v>
      </c>
      <c r="D271" s="93" t="s">
        <v>170</v>
      </c>
      <c r="E271" s="93" t="s">
        <v>175</v>
      </c>
      <c r="F271" s="40" t="s">
        <v>346</v>
      </c>
      <c r="G271" s="94"/>
      <c r="H271" s="94">
        <v>7.364261226503524E-2</v>
      </c>
      <c r="I271" s="40" t="s">
        <v>250</v>
      </c>
      <c r="J271" s="94"/>
      <c r="K271" s="94"/>
      <c r="L271" s="94"/>
      <c r="M271" s="94"/>
    </row>
    <row r="272" spans="1:13">
      <c r="A272" s="93" t="s">
        <v>274</v>
      </c>
      <c r="B272" s="93" t="s">
        <v>248</v>
      </c>
      <c r="C272" s="93" t="b">
        <v>0</v>
      </c>
      <c r="D272" s="93" t="s">
        <v>170</v>
      </c>
      <c r="E272" s="93" t="s">
        <v>178</v>
      </c>
      <c r="F272" s="40" t="s">
        <v>347</v>
      </c>
      <c r="G272" s="94"/>
      <c r="H272" s="94">
        <v>0.25404200530948007</v>
      </c>
      <c r="I272" s="40" t="s">
        <v>250</v>
      </c>
      <c r="J272" s="94"/>
      <c r="K272" s="94"/>
      <c r="L272" s="94"/>
      <c r="M272" s="94"/>
    </row>
    <row r="273" spans="1:13">
      <c r="A273" s="93" t="s">
        <v>274</v>
      </c>
      <c r="B273" s="93" t="s">
        <v>248</v>
      </c>
      <c r="C273" s="93" t="b">
        <v>1</v>
      </c>
      <c r="D273" s="93" t="s">
        <v>170</v>
      </c>
      <c r="E273" s="93" t="s">
        <v>178</v>
      </c>
      <c r="F273" s="40" t="s">
        <v>348</v>
      </c>
      <c r="G273" s="94"/>
      <c r="H273" s="94">
        <v>0.25402535797986248</v>
      </c>
      <c r="I273" s="40" t="s">
        <v>250</v>
      </c>
      <c r="J273" s="94"/>
      <c r="K273" s="94"/>
      <c r="L273" s="94"/>
      <c r="M273" s="94"/>
    </row>
    <row r="274" spans="1:13">
      <c r="A274" s="93" t="s">
        <v>274</v>
      </c>
      <c r="B274" s="93" t="s">
        <v>248</v>
      </c>
      <c r="C274" s="93" t="b">
        <v>1</v>
      </c>
      <c r="D274" s="93" t="s">
        <v>181</v>
      </c>
      <c r="E274" s="93" t="s">
        <v>171</v>
      </c>
      <c r="F274" s="40" t="s">
        <v>349</v>
      </c>
      <c r="G274" s="94"/>
      <c r="H274" s="94">
        <v>7.9131930462383385E-2</v>
      </c>
      <c r="I274" s="40" t="s">
        <v>256</v>
      </c>
      <c r="J274" s="94"/>
      <c r="K274" s="94">
        <v>0.11213456316261412</v>
      </c>
      <c r="L274" s="94"/>
      <c r="M274" s="94"/>
    </row>
    <row r="275" spans="1:13">
      <c r="A275" s="93" t="s">
        <v>274</v>
      </c>
      <c r="B275" s="93" t="s">
        <v>248</v>
      </c>
      <c r="C275" s="93" t="b">
        <v>0</v>
      </c>
      <c r="D275" s="93" t="s">
        <v>181</v>
      </c>
      <c r="E275" s="93" t="s">
        <v>175</v>
      </c>
      <c r="F275" s="40" t="s">
        <v>350</v>
      </c>
      <c r="G275" s="94"/>
      <c r="H275" s="94">
        <v>0.12863599596369241</v>
      </c>
      <c r="I275" s="40" t="s">
        <v>256</v>
      </c>
      <c r="J275" s="94"/>
      <c r="K275" s="94"/>
      <c r="L275" s="94"/>
      <c r="M275" s="94"/>
    </row>
    <row r="276" spans="1:13">
      <c r="A276" s="93" t="s">
        <v>274</v>
      </c>
      <c r="B276" s="93" t="s">
        <v>248</v>
      </c>
      <c r="C276" s="93" t="b">
        <v>1</v>
      </c>
      <c r="D276" s="93" t="s">
        <v>181</v>
      </c>
      <c r="E276" s="93" t="s">
        <v>175</v>
      </c>
      <c r="F276" s="40" t="s">
        <v>351</v>
      </c>
      <c r="G276" s="94"/>
      <c r="H276" s="94">
        <v>0.12863576306176661</v>
      </c>
      <c r="I276" s="40" t="s">
        <v>256</v>
      </c>
      <c r="J276" s="94"/>
      <c r="K276" s="94"/>
      <c r="L276" s="94"/>
      <c r="M276" s="94"/>
    </row>
    <row r="277" spans="1:13">
      <c r="A277" s="93" t="s">
        <v>274</v>
      </c>
      <c r="B277" s="93" t="s">
        <v>248</v>
      </c>
      <c r="C277" s="93" t="b">
        <v>0</v>
      </c>
      <c r="D277" s="93" t="s">
        <v>181</v>
      </c>
      <c r="E277" s="93" t="s">
        <v>178</v>
      </c>
      <c r="F277" s="40" t="s">
        <v>352</v>
      </c>
      <c r="G277" s="94"/>
      <c r="H277" s="94">
        <v>0.39737496507766984</v>
      </c>
      <c r="I277" s="40" t="s">
        <v>256</v>
      </c>
      <c r="J277" s="94"/>
      <c r="K277" s="94"/>
      <c r="L277" s="94"/>
      <c r="M277" s="94"/>
    </row>
    <row r="278" spans="1:13">
      <c r="A278" s="93" t="s">
        <v>274</v>
      </c>
      <c r="B278" s="93" t="s">
        <v>248</v>
      </c>
      <c r="C278" s="93" t="b">
        <v>1</v>
      </c>
      <c r="D278" s="93" t="s">
        <v>181</v>
      </c>
      <c r="E278" s="93" t="s">
        <v>178</v>
      </c>
      <c r="F278" s="40" t="s">
        <v>353</v>
      </c>
      <c r="G278" s="94"/>
      <c r="H278" s="94">
        <v>0.39735480988359773</v>
      </c>
      <c r="I278" s="40" t="s">
        <v>256</v>
      </c>
      <c r="J278" s="94"/>
      <c r="K278" s="94"/>
      <c r="L278" s="94"/>
      <c r="M278" s="94"/>
    </row>
    <row r="279" spans="1:13">
      <c r="A279" s="93" t="s">
        <v>274</v>
      </c>
      <c r="B279" s="93" t="s">
        <v>248</v>
      </c>
      <c r="C279" s="93" t="b">
        <v>1</v>
      </c>
      <c r="D279" s="93" t="s">
        <v>287</v>
      </c>
      <c r="E279" s="93" t="s">
        <v>175</v>
      </c>
      <c r="F279" s="40" t="s">
        <v>354</v>
      </c>
      <c r="G279" s="94"/>
      <c r="H279" s="94">
        <v>0.44266178760683916</v>
      </c>
      <c r="I279" s="40" t="s">
        <v>355</v>
      </c>
      <c r="J279" s="94"/>
      <c r="K279" s="94">
        <v>0.44266178760683916</v>
      </c>
      <c r="L279" s="94"/>
      <c r="M279" s="94"/>
    </row>
    <row r="280" spans="1:13">
      <c r="A280" s="93" t="s">
        <v>274</v>
      </c>
      <c r="B280" s="93" t="s">
        <v>261</v>
      </c>
      <c r="C280" s="93" t="b">
        <v>0</v>
      </c>
      <c r="D280" s="93" t="s">
        <v>170</v>
      </c>
      <c r="E280" s="93" t="s">
        <v>171</v>
      </c>
      <c r="F280" s="40" t="s">
        <v>356</v>
      </c>
      <c r="G280" s="94"/>
      <c r="H280" s="94">
        <v>0.12581615202858673</v>
      </c>
      <c r="I280" s="40" t="s">
        <v>263</v>
      </c>
      <c r="J280" s="94"/>
      <c r="K280" s="94">
        <v>0.53261656450243866</v>
      </c>
      <c r="L280" s="94"/>
      <c r="M280" s="94"/>
    </row>
    <row r="281" spans="1:13">
      <c r="A281" s="93" t="s">
        <v>274</v>
      </c>
      <c r="B281" s="93" t="s">
        <v>261</v>
      </c>
      <c r="C281" s="93" t="b">
        <v>1</v>
      </c>
      <c r="D281" s="93" t="s">
        <v>170</v>
      </c>
      <c r="E281" s="93" t="s">
        <v>171</v>
      </c>
      <c r="F281" s="40" t="s">
        <v>357</v>
      </c>
      <c r="G281" s="94"/>
      <c r="H281" s="94">
        <v>0.12516742766510505</v>
      </c>
      <c r="I281" s="40" t="s">
        <v>263</v>
      </c>
      <c r="J281" s="94"/>
      <c r="K281" s="94"/>
      <c r="L281" s="94"/>
      <c r="M281" s="94"/>
    </row>
    <row r="282" spans="1:13">
      <c r="A282" s="93" t="s">
        <v>274</v>
      </c>
      <c r="B282" s="93" t="s">
        <v>261</v>
      </c>
      <c r="C282" s="93" t="b">
        <v>0</v>
      </c>
      <c r="D282" s="93" t="s">
        <v>170</v>
      </c>
      <c r="E282" s="93" t="s">
        <v>175</v>
      </c>
      <c r="F282" s="40" t="s">
        <v>358</v>
      </c>
      <c r="G282" s="94"/>
      <c r="H282" s="94">
        <v>0.48979665877027506</v>
      </c>
      <c r="I282" s="40" t="s">
        <v>263</v>
      </c>
      <c r="J282" s="94"/>
      <c r="K282" s="94"/>
      <c r="L282" s="94"/>
      <c r="M282" s="94"/>
    </row>
    <row r="283" spans="1:13">
      <c r="A283" s="93" t="s">
        <v>274</v>
      </c>
      <c r="B283" s="93" t="s">
        <v>261</v>
      </c>
      <c r="C283" s="93" t="b">
        <v>1</v>
      </c>
      <c r="D283" s="93" t="s">
        <v>170</v>
      </c>
      <c r="E283" s="93" t="s">
        <v>175</v>
      </c>
      <c r="F283" s="40" t="s">
        <v>359</v>
      </c>
      <c r="G283" s="94"/>
      <c r="H283" s="94">
        <v>0.48491203262512267</v>
      </c>
      <c r="I283" s="40" t="s">
        <v>263</v>
      </c>
      <c r="J283" s="94"/>
      <c r="K283" s="94"/>
      <c r="L283" s="94"/>
      <c r="M283" s="94"/>
    </row>
    <row r="284" spans="1:13">
      <c r="A284" s="93" t="s">
        <v>274</v>
      </c>
      <c r="B284" s="93" t="s">
        <v>261</v>
      </c>
      <c r="C284" s="93" t="b">
        <v>0</v>
      </c>
      <c r="D284" s="93" t="s">
        <v>170</v>
      </c>
      <c r="E284" s="93" t="s">
        <v>178</v>
      </c>
      <c r="F284" s="40" t="s">
        <v>360</v>
      </c>
      <c r="G284" s="94"/>
      <c r="H284" s="94">
        <v>0.98223688270845422</v>
      </c>
      <c r="I284" s="40" t="s">
        <v>263</v>
      </c>
      <c r="J284" s="94"/>
      <c r="K284" s="94"/>
      <c r="L284" s="94"/>
      <c r="M284" s="94"/>
    </row>
    <row r="285" spans="1:13">
      <c r="A285" s="93" t="s">
        <v>274</v>
      </c>
      <c r="B285" s="93" t="s">
        <v>261</v>
      </c>
      <c r="C285" s="93" t="b">
        <v>1</v>
      </c>
      <c r="D285" s="93" t="s">
        <v>170</v>
      </c>
      <c r="E285" s="93" t="s">
        <v>178</v>
      </c>
      <c r="F285" s="40" t="s">
        <v>361</v>
      </c>
      <c r="G285" s="94"/>
      <c r="H285" s="94">
        <v>0.97325204807175314</v>
      </c>
      <c r="I285" s="40" t="s">
        <v>263</v>
      </c>
      <c r="J285" s="94"/>
      <c r="K285" s="94"/>
      <c r="L285" s="94"/>
      <c r="M285" s="94"/>
    </row>
    <row r="286" spans="1:13">
      <c r="A286" s="93" t="s">
        <v>274</v>
      </c>
      <c r="B286" s="93" t="s">
        <v>261</v>
      </c>
      <c r="C286" s="93" t="b">
        <v>1</v>
      </c>
      <c r="D286" s="93" t="s">
        <v>181</v>
      </c>
      <c r="E286" s="93" t="s">
        <v>171</v>
      </c>
      <c r="F286" s="40" t="s">
        <v>362</v>
      </c>
      <c r="G286" s="94"/>
      <c r="H286" s="94">
        <v>0.29500871939302109</v>
      </c>
      <c r="I286" s="40" t="s">
        <v>269</v>
      </c>
      <c r="J286" s="94"/>
      <c r="K286" s="94">
        <v>0.98289797090983644</v>
      </c>
      <c r="L286" s="94"/>
      <c r="M286" s="94"/>
    </row>
    <row r="287" spans="1:13">
      <c r="A287" s="93" t="s">
        <v>274</v>
      </c>
      <c r="B287" s="93" t="s">
        <v>261</v>
      </c>
      <c r="C287" s="93" t="b">
        <v>0</v>
      </c>
      <c r="D287" s="93" t="s">
        <v>181</v>
      </c>
      <c r="E287" s="93" t="s">
        <v>175</v>
      </c>
      <c r="F287" s="40" t="s">
        <v>363</v>
      </c>
      <c r="G287" s="94"/>
      <c r="H287" s="94">
        <v>1.005252745684281</v>
      </c>
      <c r="I287" s="40" t="s">
        <v>269</v>
      </c>
      <c r="J287" s="94"/>
      <c r="K287" s="94"/>
      <c r="L287" s="94"/>
      <c r="M287" s="94"/>
    </row>
    <row r="288" spans="1:13">
      <c r="A288" s="93" t="s">
        <v>274</v>
      </c>
      <c r="B288" s="93" t="s">
        <v>261</v>
      </c>
      <c r="C288" s="93" t="b">
        <v>1</v>
      </c>
      <c r="D288" s="93" t="s">
        <v>181</v>
      </c>
      <c r="E288" s="93" t="s">
        <v>175</v>
      </c>
      <c r="F288" s="40" t="s">
        <v>364</v>
      </c>
      <c r="G288" s="94"/>
      <c r="H288" s="94">
        <v>0.99934496996485012</v>
      </c>
      <c r="I288" s="40" t="s">
        <v>269</v>
      </c>
      <c r="J288" s="94"/>
      <c r="K288" s="94"/>
      <c r="L288" s="94"/>
      <c r="M288" s="94"/>
    </row>
    <row r="289" spans="1:13">
      <c r="A289" s="93" t="s">
        <v>274</v>
      </c>
      <c r="B289" s="93" t="s">
        <v>261</v>
      </c>
      <c r="C289" s="93" t="b">
        <v>0</v>
      </c>
      <c r="D289" s="93" t="s">
        <v>181</v>
      </c>
      <c r="E289" s="93" t="s">
        <v>178</v>
      </c>
      <c r="F289" s="40" t="s">
        <v>365</v>
      </c>
      <c r="G289" s="94"/>
      <c r="H289" s="94">
        <v>1.6484324476522072</v>
      </c>
      <c r="I289" s="40" t="s">
        <v>269</v>
      </c>
      <c r="J289" s="94"/>
      <c r="K289" s="94"/>
      <c r="L289" s="94"/>
      <c r="M289" s="94"/>
    </row>
    <row r="290" spans="1:13">
      <c r="A290" s="93" t="s">
        <v>274</v>
      </c>
      <c r="B290" s="93" t="s">
        <v>261</v>
      </c>
      <c r="C290" s="93" t="b">
        <v>1</v>
      </c>
      <c r="D290" s="93" t="s">
        <v>181</v>
      </c>
      <c r="E290" s="93" t="s">
        <v>178</v>
      </c>
      <c r="F290" s="40" t="s">
        <v>366</v>
      </c>
      <c r="G290" s="94"/>
      <c r="H290" s="94">
        <v>1.637770163638111</v>
      </c>
      <c r="I290" s="40" t="s">
        <v>269</v>
      </c>
      <c r="J290" s="94"/>
      <c r="K290" s="94"/>
      <c r="L290" s="94"/>
      <c r="M290" s="94"/>
    </row>
    <row r="291" spans="1:13">
      <c r="A291" s="93" t="s">
        <v>367</v>
      </c>
      <c r="B291" s="93" t="s">
        <v>367</v>
      </c>
      <c r="C291" s="93" t="s">
        <v>367</v>
      </c>
      <c r="D291" s="93" t="s">
        <v>367</v>
      </c>
      <c r="E291" s="95" t="s">
        <v>368</v>
      </c>
      <c r="F291" s="40" t="str">
        <f>"|"&amp;"|"&amp;"|"&amp;E291</f>
        <v>|||Greenspace</v>
      </c>
      <c r="G291" s="96"/>
      <c r="H291" s="94">
        <v>0.02</v>
      </c>
      <c r="I291" s="40"/>
      <c r="J291" s="40"/>
      <c r="K291" s="40"/>
      <c r="L291" s="40"/>
      <c r="M291" s="40"/>
    </row>
    <row r="292" spans="1:13">
      <c r="A292" s="93" t="s">
        <v>367</v>
      </c>
      <c r="B292" s="93" t="s">
        <v>367</v>
      </c>
      <c r="C292" s="93" t="s">
        <v>367</v>
      </c>
      <c r="D292" s="93" t="s">
        <v>367</v>
      </c>
      <c r="E292" s="95" t="s">
        <v>369</v>
      </c>
      <c r="F292" s="40" t="str">
        <f>"|"&amp;"|"&amp;"|"&amp;E292</f>
        <v>|||Community food growing</v>
      </c>
      <c r="G292" s="94"/>
      <c r="H292" s="97">
        <f>IFERROR(VLOOKUP((VLOOKUP(Nutrients_from_current_land_use!$B$5,Value_look_up_tables!$A$328:$B$328,2,FALSE)&amp;"|"&amp;"General"&amp;"|"&amp;"FALSE"&amp;"|"&amp;VLOOKUP(Nutrients_from_current_land_use!$B$7,Value_look_up_tables!$A$302:$C$324,3,FALSE)&amp;"|"&amp;"FreeDrain"),$F$39:$H$290,3,FALSE), IFERROR(VLOOKUP("General"&amp;"|"&amp;VLOOKUP(Nutrients_from_current_land_use!$B$7,Value_look_up_tables!$A$302:$C$324,3,FALSE),$I$39:$M$290,3,FALSE),VLOOKUP("General",$B$39:$M$290,12,FALSE)))</f>
        <v>0.41821379497198558</v>
      </c>
      <c r="I292" s="40"/>
      <c r="J292" s="40"/>
      <c r="K292" s="40"/>
      <c r="L292" s="40"/>
      <c r="M292" s="40"/>
    </row>
    <row r="293" spans="1:13">
      <c r="A293" s="93" t="s">
        <v>367</v>
      </c>
      <c r="B293" s="93" t="s">
        <v>367</v>
      </c>
      <c r="C293" s="93" t="s">
        <v>367</v>
      </c>
      <c r="D293" s="93" t="s">
        <v>367</v>
      </c>
      <c r="E293" s="95" t="s">
        <v>370</v>
      </c>
      <c r="F293" s="40" t="str">
        <f>"|"&amp;"|"&amp;"|"&amp;E293</f>
        <v>|||Woodland</v>
      </c>
      <c r="G293" s="96"/>
      <c r="H293" s="94">
        <v>0.02</v>
      </c>
      <c r="I293" s="40"/>
      <c r="J293" s="40"/>
      <c r="K293" s="40"/>
      <c r="L293" s="40"/>
      <c r="M293" s="40"/>
    </row>
    <row r="294" spans="1:13">
      <c r="A294" s="93" t="s">
        <v>367</v>
      </c>
      <c r="B294" s="93" t="s">
        <v>367</v>
      </c>
      <c r="C294" s="93" t="s">
        <v>367</v>
      </c>
      <c r="D294" s="93" t="s">
        <v>367</v>
      </c>
      <c r="E294" s="95" t="s">
        <v>371</v>
      </c>
      <c r="F294" s="40" t="str">
        <f>"|"&amp;"|"&amp;"|"&amp;E294</f>
        <v>|||Shrub</v>
      </c>
      <c r="G294" s="96"/>
      <c r="H294" s="94">
        <v>0.02</v>
      </c>
      <c r="I294" s="40"/>
      <c r="J294" s="40"/>
      <c r="K294" s="40"/>
      <c r="L294" s="40"/>
      <c r="M294" s="40"/>
    </row>
    <row r="295" spans="1:13">
      <c r="A295" s="93" t="s">
        <v>367</v>
      </c>
      <c r="B295" s="93" t="s">
        <v>367</v>
      </c>
      <c r="C295" s="93" t="s">
        <v>367</v>
      </c>
      <c r="D295" s="93" t="s">
        <v>367</v>
      </c>
      <c r="E295" s="95" t="s">
        <v>372</v>
      </c>
      <c r="F295" s="40" t="str">
        <f>"|"&amp;"|"&amp;"|"&amp;E295</f>
        <v>|||Water</v>
      </c>
      <c r="G295" s="96"/>
      <c r="H295" s="94">
        <v>0</v>
      </c>
      <c r="I295" s="40"/>
      <c r="J295" s="40"/>
      <c r="K295" s="40"/>
      <c r="L295" s="40"/>
      <c r="M295" s="40"/>
    </row>
    <row r="296" spans="1:13">
      <c r="A296" s="93" t="s">
        <v>367</v>
      </c>
      <c r="B296" s="93" t="s">
        <v>367</v>
      </c>
      <c r="C296" s="93" t="s">
        <v>367</v>
      </c>
      <c r="D296" s="93" t="s">
        <v>367</v>
      </c>
      <c r="E296" s="40" t="s">
        <v>373</v>
      </c>
      <c r="F296" s="40" t="str">
        <f t="shared" ref="F296:F298" si="0">"|"&amp;"|"&amp;"|"&amp;E296</f>
        <v>|||Residential urban land</v>
      </c>
      <c r="G296" s="94"/>
      <c r="H296" s="94" t="e">
        <f>VLOOKUP(Nutrients_from_current_land_use!B7,Value_look_up_tables!A302:I324,9,FALSE)</f>
        <v>#N/A</v>
      </c>
      <c r="I296" s="40"/>
      <c r="J296" s="40"/>
      <c r="K296" s="40"/>
      <c r="L296" s="40"/>
      <c r="M296" s="40"/>
    </row>
    <row r="297" spans="1:13" ht="28.5">
      <c r="A297" s="93" t="s">
        <v>367</v>
      </c>
      <c r="B297" s="93" t="s">
        <v>367</v>
      </c>
      <c r="C297" s="93" t="s">
        <v>367</v>
      </c>
      <c r="D297" s="93" t="s">
        <v>367</v>
      </c>
      <c r="E297" s="40" t="s">
        <v>374</v>
      </c>
      <c r="F297" s="40" t="str">
        <f t="shared" si="0"/>
        <v>|||Commercial/industrial urban land</v>
      </c>
      <c r="G297" s="94"/>
      <c r="H297" s="94" t="e">
        <f>VLOOKUP(Nutrients_from_current_land_use!B7,Value_look_up_tables!A302:K324,10,FALSE)</f>
        <v>#N/A</v>
      </c>
      <c r="I297" s="40"/>
      <c r="J297" s="40"/>
      <c r="K297" s="40"/>
      <c r="L297" s="40"/>
      <c r="M297" s="40"/>
    </row>
    <row r="298" spans="1:13">
      <c r="A298" s="93" t="s">
        <v>367</v>
      </c>
      <c r="B298" s="93" t="s">
        <v>367</v>
      </c>
      <c r="C298" s="93" t="s">
        <v>367</v>
      </c>
      <c r="D298" s="93" t="s">
        <v>367</v>
      </c>
      <c r="E298" s="40" t="s">
        <v>375</v>
      </c>
      <c r="F298" s="40" t="str">
        <f t="shared" si="0"/>
        <v>|||Open urban land</v>
      </c>
      <c r="G298" s="94"/>
      <c r="H298" s="94" t="e">
        <f>VLOOKUP(Nutrients_from_current_land_use!B7,Value_look_up_tables!A302:N324,11,FALSE)</f>
        <v>#N/A</v>
      </c>
      <c r="I298" s="40"/>
      <c r="J298" s="40"/>
      <c r="K298" s="40"/>
      <c r="L298" s="40"/>
      <c r="M298" s="40"/>
    </row>
    <row r="299" spans="1:13">
      <c r="A299" s="40"/>
      <c r="B299" s="40"/>
      <c r="C299" s="40"/>
      <c r="D299" s="40"/>
      <c r="E299" s="40"/>
      <c r="F299" s="40"/>
      <c r="G299" s="94"/>
      <c r="H299" s="94"/>
      <c r="I299" s="40"/>
      <c r="J299" s="40"/>
      <c r="K299" s="40"/>
      <c r="L299" s="40"/>
      <c r="M299" s="40"/>
    </row>
    <row r="300" spans="1:13" s="116" customFormat="1" ht="37.5" customHeight="1">
      <c r="A300" s="117" t="s">
        <v>376</v>
      </c>
      <c r="B300" s="78"/>
      <c r="C300" s="78"/>
      <c r="D300" s="78"/>
      <c r="E300" s="78"/>
      <c r="F300" s="78"/>
      <c r="G300" s="118"/>
      <c r="H300" s="118"/>
      <c r="I300" s="78"/>
      <c r="J300" s="78"/>
      <c r="K300" s="78"/>
      <c r="L300" s="78"/>
      <c r="M300" s="78"/>
    </row>
    <row r="301" spans="1:13" ht="75">
      <c r="A301" s="25" t="s">
        <v>377</v>
      </c>
      <c r="B301" s="25" t="s">
        <v>378</v>
      </c>
      <c r="C301" s="25" t="s">
        <v>379</v>
      </c>
      <c r="D301" s="25" t="s">
        <v>380</v>
      </c>
      <c r="E301" s="25" t="s">
        <v>381</v>
      </c>
      <c r="F301" s="25" t="s">
        <v>382</v>
      </c>
      <c r="G301" s="25" t="s">
        <v>383</v>
      </c>
      <c r="H301" s="25" t="s">
        <v>384</v>
      </c>
      <c r="I301" s="25" t="s">
        <v>385</v>
      </c>
      <c r="J301" s="25" t="s">
        <v>386</v>
      </c>
      <c r="K301" s="25" t="s">
        <v>387</v>
      </c>
      <c r="L301" s="25"/>
      <c r="M301" s="25"/>
    </row>
    <row r="302" spans="1:13">
      <c r="A302" s="16" t="s">
        <v>388</v>
      </c>
      <c r="B302" s="97">
        <v>516.5</v>
      </c>
      <c r="C302" s="16" t="s">
        <v>389</v>
      </c>
      <c r="D302" s="97">
        <v>47.366326420209788</v>
      </c>
      <c r="E302" s="97">
        <v>63.946326420209786</v>
      </c>
      <c r="F302" s="97">
        <v>1.0030530114375726</v>
      </c>
      <c r="G302" s="97">
        <v>0.73394122788115068</v>
      </c>
      <c r="H302" s="97">
        <v>0.5382235671128438</v>
      </c>
      <c r="I302" s="97">
        <v>1.0030530114375726</v>
      </c>
      <c r="J302" s="97">
        <v>0.73394122788115068</v>
      </c>
      <c r="K302" s="97">
        <v>0.5382235671128438</v>
      </c>
      <c r="L302" s="97"/>
      <c r="M302" s="97"/>
    </row>
    <row r="303" spans="1:13">
      <c r="A303" s="16" t="s">
        <v>390</v>
      </c>
      <c r="B303" s="97">
        <v>537.54999999999995</v>
      </c>
      <c r="C303" s="16" t="s">
        <v>389</v>
      </c>
      <c r="D303" s="97">
        <v>47.605509573313697</v>
      </c>
      <c r="E303" s="97">
        <v>64.185509573313695</v>
      </c>
      <c r="F303" s="97">
        <v>1.049204008516526</v>
      </c>
      <c r="G303" s="97">
        <v>0.76771025013404326</v>
      </c>
      <c r="H303" s="97">
        <v>0.56298751676496517</v>
      </c>
      <c r="I303" s="97">
        <v>1.049204008516526</v>
      </c>
      <c r="J303" s="97">
        <v>0.76771025013404326</v>
      </c>
      <c r="K303" s="97">
        <v>0.56298751676496517</v>
      </c>
      <c r="L303" s="97"/>
      <c r="M303" s="97"/>
    </row>
    <row r="304" spans="1:13">
      <c r="A304" s="16" t="s">
        <v>391</v>
      </c>
      <c r="B304" s="97">
        <v>562.54999999999995</v>
      </c>
      <c r="C304" s="16" t="s">
        <v>389</v>
      </c>
      <c r="D304" s="97">
        <v>47.8624816470968</v>
      </c>
      <c r="E304" s="97">
        <v>64.442481647096798</v>
      </c>
      <c r="F304" s="97">
        <v>1.1039266010735462</v>
      </c>
      <c r="G304" s="97">
        <v>0.80775117151722908</v>
      </c>
      <c r="H304" s="97">
        <v>0.59235085911263463</v>
      </c>
      <c r="I304" s="97">
        <v>1.1039266010735462</v>
      </c>
      <c r="J304" s="97">
        <v>0.80775117151722908</v>
      </c>
      <c r="K304" s="97">
        <v>0.59235085911263463</v>
      </c>
      <c r="L304" s="97"/>
      <c r="M304" s="97"/>
    </row>
    <row r="305" spans="1:13">
      <c r="A305" s="16" t="s">
        <v>392</v>
      </c>
      <c r="B305" s="97">
        <v>587.54999999999995</v>
      </c>
      <c r="C305" s="16" t="s">
        <v>389</v>
      </c>
      <c r="D305" s="97">
        <v>48.089720428979902</v>
      </c>
      <c r="E305" s="97">
        <v>64.6697204289799</v>
      </c>
      <c r="F305" s="97">
        <v>1.1584597247599329</v>
      </c>
      <c r="G305" s="97">
        <v>0.84765345714141427</v>
      </c>
      <c r="H305" s="97">
        <v>0.62161253523703719</v>
      </c>
      <c r="I305" s="97">
        <v>1.1584597247599329</v>
      </c>
      <c r="J305" s="97">
        <v>0.84765345714141427</v>
      </c>
      <c r="K305" s="97">
        <v>0.62161253523703719</v>
      </c>
      <c r="L305" s="97"/>
      <c r="M305" s="97"/>
    </row>
    <row r="306" spans="1:13">
      <c r="A306" s="16" t="s">
        <v>393</v>
      </c>
      <c r="B306" s="97">
        <v>612.54999999999995</v>
      </c>
      <c r="C306" s="16" t="s">
        <v>170</v>
      </c>
      <c r="D306" s="97">
        <v>48.286892468962989</v>
      </c>
      <c r="E306" s="97">
        <v>64.866892468962988</v>
      </c>
      <c r="F306" s="97">
        <v>1.2127035752563942</v>
      </c>
      <c r="G306" s="97">
        <v>0.88734407945589822</v>
      </c>
      <c r="H306" s="97">
        <v>0.650718991600992</v>
      </c>
      <c r="I306" s="97">
        <v>1.2127035752563942</v>
      </c>
      <c r="J306" s="97">
        <v>0.88734407945589822</v>
      </c>
      <c r="K306" s="97">
        <v>0.650718991600992</v>
      </c>
      <c r="L306" s="97"/>
      <c r="M306" s="97"/>
    </row>
    <row r="307" spans="1:13">
      <c r="A307" s="16" t="s">
        <v>394</v>
      </c>
      <c r="B307" s="97">
        <v>637.54999999999995</v>
      </c>
      <c r="C307" s="16" t="s">
        <v>170</v>
      </c>
      <c r="D307" s="97">
        <v>48.453664317046091</v>
      </c>
      <c r="E307" s="97">
        <v>65.033664317046089</v>
      </c>
      <c r="F307" s="97">
        <v>1.2665569810986419</v>
      </c>
      <c r="G307" s="97">
        <v>0.92674901055998193</v>
      </c>
      <c r="H307" s="97">
        <v>0.67961594107732015</v>
      </c>
      <c r="I307" s="97">
        <v>1.2665569810986419</v>
      </c>
      <c r="J307" s="97">
        <v>0.92674901055998193</v>
      </c>
      <c r="K307" s="97">
        <v>0.67961594107732015</v>
      </c>
      <c r="L307" s="97"/>
      <c r="M307" s="97"/>
    </row>
    <row r="308" spans="1:13">
      <c r="A308" s="16" t="s">
        <v>395</v>
      </c>
      <c r="B308" s="97">
        <v>662.55</v>
      </c>
      <c r="C308" s="16" t="s">
        <v>170</v>
      </c>
      <c r="D308" s="97">
        <v>48.589702523229192</v>
      </c>
      <c r="E308" s="97">
        <v>65.169702523229191</v>
      </c>
      <c r="F308" s="97">
        <v>1.3199174036773855</v>
      </c>
      <c r="G308" s="97">
        <v>0.96579322220296504</v>
      </c>
      <c r="H308" s="97">
        <v>0.70824836294884108</v>
      </c>
      <c r="I308" s="97">
        <v>1.3199174036773855</v>
      </c>
      <c r="J308" s="97">
        <v>0.96579322220296504</v>
      </c>
      <c r="K308" s="97">
        <v>0.70824836294884108</v>
      </c>
      <c r="L308" s="97"/>
      <c r="M308" s="97"/>
    </row>
    <row r="309" spans="1:13">
      <c r="A309" s="16" t="s">
        <v>396</v>
      </c>
      <c r="B309" s="97">
        <v>687.55</v>
      </c>
      <c r="C309" s="16" t="s">
        <v>170</v>
      </c>
      <c r="D309" s="97">
        <v>48.694673637512295</v>
      </c>
      <c r="E309" s="97">
        <v>65.274673637512294</v>
      </c>
      <c r="F309" s="97">
        <v>1.3726809372383346</v>
      </c>
      <c r="G309" s="97">
        <v>1.0044006857841474</v>
      </c>
      <c r="H309" s="97">
        <v>0.73656050290837471</v>
      </c>
      <c r="I309" s="97">
        <v>1.3726809372383346</v>
      </c>
      <c r="J309" s="97">
        <v>1.0044006857841474</v>
      </c>
      <c r="K309" s="97">
        <v>0.73656050290837471</v>
      </c>
      <c r="L309" s="97"/>
      <c r="M309" s="97"/>
    </row>
    <row r="310" spans="1:13">
      <c r="A310" s="16" t="s">
        <v>397</v>
      </c>
      <c r="B310" s="97">
        <v>725.05</v>
      </c>
      <c r="C310" s="16" t="s">
        <v>181</v>
      </c>
      <c r="D310" s="97">
        <v>48.793150089749446</v>
      </c>
      <c r="E310" s="97">
        <v>65.373150089749444</v>
      </c>
      <c r="F310" s="97">
        <v>1.4504764123754863</v>
      </c>
      <c r="G310" s="97">
        <v>1.0613242041771849</v>
      </c>
      <c r="H310" s="97">
        <v>0.77830441639660242</v>
      </c>
      <c r="I310" s="97">
        <v>1.4504764123754863</v>
      </c>
      <c r="J310" s="97">
        <v>1.0613242041771849</v>
      </c>
      <c r="K310" s="97">
        <v>0.77830441639660242</v>
      </c>
      <c r="L310" s="97"/>
      <c r="M310" s="97"/>
    </row>
    <row r="311" spans="1:13">
      <c r="A311" s="16" t="s">
        <v>398</v>
      </c>
      <c r="B311" s="97">
        <v>775.05</v>
      </c>
      <c r="C311" s="16" t="s">
        <v>181</v>
      </c>
      <c r="D311" s="97">
        <v>48.817999999999984</v>
      </c>
      <c r="E311" s="97">
        <v>65.397999999999982</v>
      </c>
      <c r="F311" s="97">
        <v>1.5512920268999992</v>
      </c>
      <c r="G311" s="97">
        <v>1.1350917269999994</v>
      </c>
      <c r="H311" s="97">
        <v>0.83240059979999959</v>
      </c>
      <c r="I311" s="97">
        <v>1.5512920268999992</v>
      </c>
      <c r="J311" s="97">
        <v>1.1350917269999994</v>
      </c>
      <c r="K311" s="97">
        <v>0.83240059979999959</v>
      </c>
      <c r="L311" s="97"/>
      <c r="M311" s="97"/>
    </row>
    <row r="312" spans="1:13">
      <c r="A312" s="16" t="s">
        <v>399</v>
      </c>
      <c r="B312" s="97">
        <v>825.05</v>
      </c>
      <c r="C312" s="16" t="s">
        <v>181</v>
      </c>
      <c r="D312" s="97">
        <v>48.817999999999984</v>
      </c>
      <c r="E312" s="97">
        <v>65.397999999999982</v>
      </c>
      <c r="F312" s="97">
        <v>1.6513689268999994</v>
      </c>
      <c r="G312" s="97">
        <v>1.2083187269999995</v>
      </c>
      <c r="H312" s="97">
        <v>0.88610039979999966</v>
      </c>
      <c r="I312" s="97">
        <v>1.6513689268999994</v>
      </c>
      <c r="J312" s="97">
        <v>1.2083187269999995</v>
      </c>
      <c r="K312" s="97">
        <v>0.88610039979999966</v>
      </c>
      <c r="L312" s="97"/>
      <c r="M312" s="97"/>
    </row>
    <row r="313" spans="1:13">
      <c r="A313" s="16" t="s">
        <v>400</v>
      </c>
      <c r="B313" s="97">
        <v>875.05</v>
      </c>
      <c r="C313" s="16" t="s">
        <v>181</v>
      </c>
      <c r="D313" s="97">
        <v>48.817999999999984</v>
      </c>
      <c r="E313" s="97">
        <v>65.397999999999982</v>
      </c>
      <c r="F313" s="97">
        <v>1.7514458268999995</v>
      </c>
      <c r="G313" s="97">
        <v>1.2815457269999997</v>
      </c>
      <c r="H313" s="97">
        <v>0.93980019979999974</v>
      </c>
      <c r="I313" s="97">
        <v>1.7514458268999995</v>
      </c>
      <c r="J313" s="97">
        <v>1.2815457269999997</v>
      </c>
      <c r="K313" s="97">
        <v>0.93980019979999974</v>
      </c>
      <c r="L313" s="97"/>
      <c r="M313" s="97"/>
    </row>
    <row r="314" spans="1:13">
      <c r="A314" s="16" t="s">
        <v>401</v>
      </c>
      <c r="B314" s="97">
        <v>925.05</v>
      </c>
      <c r="C314" s="16" t="s">
        <v>402</v>
      </c>
      <c r="D314" s="97">
        <v>48.817999999999984</v>
      </c>
      <c r="E314" s="97">
        <v>65.397999999999982</v>
      </c>
      <c r="F314" s="97">
        <v>1.851522726899999</v>
      </c>
      <c r="G314" s="97">
        <v>1.3547727269999992</v>
      </c>
      <c r="H314" s="97">
        <v>0.99349999979999948</v>
      </c>
      <c r="I314" s="97">
        <v>1.851522726899999</v>
      </c>
      <c r="J314" s="97">
        <v>1.3547727269999992</v>
      </c>
      <c r="K314" s="97">
        <v>0.99349999979999948</v>
      </c>
      <c r="L314" s="97"/>
      <c r="M314" s="97"/>
    </row>
    <row r="315" spans="1:13">
      <c r="A315" s="16" t="s">
        <v>403</v>
      </c>
      <c r="B315" s="97">
        <v>975.05</v>
      </c>
      <c r="C315" s="16" t="s">
        <v>402</v>
      </c>
      <c r="D315" s="97">
        <v>48.817999999999984</v>
      </c>
      <c r="E315" s="97">
        <v>65.397999999999982</v>
      </c>
      <c r="F315" s="97">
        <v>1.9515996268999991</v>
      </c>
      <c r="G315" s="97">
        <v>1.4279997269999993</v>
      </c>
      <c r="H315" s="97">
        <v>1.0471997997999996</v>
      </c>
      <c r="I315" s="97">
        <v>1.9515996268999991</v>
      </c>
      <c r="J315" s="97">
        <v>1.4279997269999993</v>
      </c>
      <c r="K315" s="97">
        <v>1.0471997997999996</v>
      </c>
      <c r="L315" s="97"/>
      <c r="M315" s="97"/>
    </row>
    <row r="316" spans="1:13">
      <c r="A316" s="16" t="s">
        <v>404</v>
      </c>
      <c r="B316" s="97">
        <v>1050.05</v>
      </c>
      <c r="C316" s="16" t="s">
        <v>402</v>
      </c>
      <c r="D316" s="97">
        <v>48.817999999999984</v>
      </c>
      <c r="E316" s="97">
        <v>65.397999999999982</v>
      </c>
      <c r="F316" s="97">
        <v>2.101714976899999</v>
      </c>
      <c r="G316" s="97">
        <v>1.5378402269999993</v>
      </c>
      <c r="H316" s="97">
        <v>1.1277494997999997</v>
      </c>
      <c r="I316" s="97">
        <v>2.101714976899999</v>
      </c>
      <c r="J316" s="97">
        <v>1.5378402269999993</v>
      </c>
      <c r="K316" s="97">
        <v>1.1277494997999997</v>
      </c>
      <c r="L316" s="97"/>
      <c r="M316" s="97"/>
    </row>
    <row r="317" spans="1:13">
      <c r="A317" s="16" t="s">
        <v>405</v>
      </c>
      <c r="B317" s="97">
        <v>1150.05</v>
      </c>
      <c r="C317" s="16" t="s">
        <v>402</v>
      </c>
      <c r="D317" s="97">
        <v>48.817999999999984</v>
      </c>
      <c r="E317" s="97">
        <v>65.397999999999982</v>
      </c>
      <c r="F317" s="97">
        <v>2.3018687768999988</v>
      </c>
      <c r="G317" s="97">
        <v>1.6842942269999992</v>
      </c>
      <c r="H317" s="97">
        <v>1.2351490997999994</v>
      </c>
      <c r="I317" s="97">
        <v>2.3018687768999988</v>
      </c>
      <c r="J317" s="97">
        <v>1.6842942269999992</v>
      </c>
      <c r="K317" s="97">
        <v>1.2351490997999994</v>
      </c>
      <c r="L317" s="97"/>
      <c r="M317" s="97"/>
    </row>
    <row r="318" spans="1:13">
      <c r="A318" s="16" t="s">
        <v>406</v>
      </c>
      <c r="B318" s="97">
        <v>1300.05</v>
      </c>
      <c r="C318" s="16" t="s">
        <v>407</v>
      </c>
      <c r="D318" s="97">
        <v>48.817999999999984</v>
      </c>
      <c r="E318" s="97">
        <v>65.397999999999982</v>
      </c>
      <c r="F318" s="97">
        <v>2.602099476899999</v>
      </c>
      <c r="G318" s="97">
        <v>1.9039752269999992</v>
      </c>
      <c r="H318" s="97">
        <v>1.3962484997999995</v>
      </c>
      <c r="I318" s="97">
        <v>2.602099476899999</v>
      </c>
      <c r="J318" s="97">
        <v>1.9039752269999992</v>
      </c>
      <c r="K318" s="97">
        <v>1.3962484997999995</v>
      </c>
      <c r="L318" s="97"/>
      <c r="M318" s="97"/>
    </row>
    <row r="319" spans="1:13">
      <c r="A319" s="16" t="s">
        <v>408</v>
      </c>
      <c r="B319" s="97">
        <v>1500.05</v>
      </c>
      <c r="C319" s="16" t="s">
        <v>407</v>
      </c>
      <c r="D319" s="97">
        <v>48.817999999999984</v>
      </c>
      <c r="E319" s="97">
        <v>65.397999999999982</v>
      </c>
      <c r="F319" s="97">
        <v>3.0024070768999986</v>
      </c>
      <c r="G319" s="97">
        <v>2.1968832269999989</v>
      </c>
      <c r="H319" s="97">
        <v>1.6110476997999994</v>
      </c>
      <c r="I319" s="97">
        <v>3.0024070768999986</v>
      </c>
      <c r="J319" s="97">
        <v>2.1968832269999989</v>
      </c>
      <c r="K319" s="97">
        <v>1.6110476997999994</v>
      </c>
      <c r="L319" s="97"/>
      <c r="M319" s="97"/>
    </row>
    <row r="320" spans="1:13">
      <c r="A320" s="16" t="s">
        <v>409</v>
      </c>
      <c r="B320" s="97">
        <v>1800.05</v>
      </c>
      <c r="C320" s="16" t="s">
        <v>287</v>
      </c>
      <c r="D320" s="97">
        <v>48.817999999999984</v>
      </c>
      <c r="E320" s="97">
        <v>65.397999999999982</v>
      </c>
      <c r="F320" s="97">
        <v>3.6028684768999981</v>
      </c>
      <c r="G320" s="97">
        <v>2.6362452269999985</v>
      </c>
      <c r="H320" s="97">
        <v>1.9332464997999992</v>
      </c>
      <c r="I320" s="97">
        <v>3.6028684768999981</v>
      </c>
      <c r="J320" s="97">
        <v>2.6362452269999985</v>
      </c>
      <c r="K320" s="97">
        <v>1.9332464997999992</v>
      </c>
      <c r="L320" s="97"/>
      <c r="M320" s="97"/>
    </row>
    <row r="321" spans="1:13">
      <c r="A321" s="16" t="s">
        <v>410</v>
      </c>
      <c r="B321" s="97">
        <v>2200.0500000000002</v>
      </c>
      <c r="C321" s="16" t="s">
        <v>287</v>
      </c>
      <c r="D321" s="97">
        <v>48.817999999999984</v>
      </c>
      <c r="E321" s="97">
        <v>65.397999999999982</v>
      </c>
      <c r="F321" s="97">
        <v>4.4034836768999988</v>
      </c>
      <c r="G321" s="97">
        <v>3.2220612269999993</v>
      </c>
      <c r="H321" s="97">
        <v>2.3628448997999998</v>
      </c>
      <c r="I321" s="97">
        <v>4.4034836768999988</v>
      </c>
      <c r="J321" s="97">
        <v>3.2220612269999993</v>
      </c>
      <c r="K321" s="97">
        <v>2.3628448997999998</v>
      </c>
      <c r="L321" s="97"/>
      <c r="M321" s="97"/>
    </row>
    <row r="322" spans="1:13">
      <c r="A322" s="16" t="s">
        <v>411</v>
      </c>
      <c r="B322" s="97">
        <v>2700.05</v>
      </c>
      <c r="C322" s="16" t="s">
        <v>287</v>
      </c>
      <c r="D322" s="97">
        <v>48.817999999999984</v>
      </c>
      <c r="E322" s="97">
        <v>65.397999999999982</v>
      </c>
      <c r="F322" s="97">
        <v>5.4042526768999988</v>
      </c>
      <c r="G322" s="97">
        <v>3.9543312269999986</v>
      </c>
      <c r="H322" s="97">
        <v>2.8998428997999994</v>
      </c>
      <c r="I322" s="97">
        <v>5.4042526768999988</v>
      </c>
      <c r="J322" s="97">
        <v>3.9543312269999986</v>
      </c>
      <c r="K322" s="97">
        <v>2.8998428997999994</v>
      </c>
      <c r="L322" s="97"/>
      <c r="M322" s="97"/>
    </row>
    <row r="323" spans="1:13">
      <c r="A323" s="16" t="s">
        <v>412</v>
      </c>
      <c r="B323" s="97">
        <v>3500.05</v>
      </c>
      <c r="C323" s="16" t="s">
        <v>287</v>
      </c>
      <c r="D323" s="97">
        <v>48.817999999999984</v>
      </c>
      <c r="E323" s="97">
        <v>65.397999999999982</v>
      </c>
      <c r="F323" s="97">
        <v>7.0054830768999983</v>
      </c>
      <c r="G323" s="97">
        <v>5.1259632269999988</v>
      </c>
      <c r="H323" s="97">
        <v>3.7590396997999993</v>
      </c>
      <c r="I323" s="97">
        <v>7.0054830768999983</v>
      </c>
      <c r="J323" s="97">
        <v>5.1259632269999988</v>
      </c>
      <c r="K323" s="97">
        <v>3.7590396997999993</v>
      </c>
      <c r="L323" s="97"/>
      <c r="M323" s="97"/>
    </row>
    <row r="324" spans="1:13">
      <c r="A324" s="16" t="s">
        <v>413</v>
      </c>
      <c r="B324" s="97">
        <v>4750.05</v>
      </c>
      <c r="C324" s="16" t="s">
        <v>287</v>
      </c>
      <c r="D324" s="97">
        <v>48.817999999999984</v>
      </c>
      <c r="E324" s="97">
        <v>65.397999999999982</v>
      </c>
      <c r="F324" s="97">
        <v>9.5074055768999965</v>
      </c>
      <c r="G324" s="97">
        <v>6.9566382269999973</v>
      </c>
      <c r="H324" s="97">
        <v>5.1015346997999984</v>
      </c>
      <c r="I324" s="97">
        <v>9.5074055768999965</v>
      </c>
      <c r="J324" s="97">
        <v>6.9566382269999973</v>
      </c>
      <c r="K324" s="97">
        <v>5.1015346997999984</v>
      </c>
      <c r="L324" s="97"/>
      <c r="M324" s="97"/>
    </row>
    <row r="325" spans="1:13">
      <c r="A325" s="40"/>
      <c r="B325" s="40"/>
      <c r="C325" s="40"/>
      <c r="D325" s="40"/>
      <c r="E325" s="40"/>
      <c r="F325" s="40"/>
      <c r="G325" s="94"/>
      <c r="H325" s="94"/>
      <c r="I325" s="40"/>
      <c r="J325" s="40"/>
      <c r="K325" s="40"/>
      <c r="L325" s="40"/>
      <c r="M325" s="40"/>
    </row>
    <row r="326" spans="1:13" s="116" customFormat="1" ht="37.5" customHeight="1">
      <c r="A326" s="117" t="s">
        <v>414</v>
      </c>
      <c r="B326" s="78"/>
      <c r="C326" s="78"/>
      <c r="D326" s="78"/>
      <c r="F326" s="78"/>
      <c r="H326" s="118"/>
      <c r="J326" s="78"/>
      <c r="K326" s="78"/>
      <c r="L326" s="78"/>
      <c r="M326" s="78"/>
    </row>
    <row r="327" spans="1:13" ht="30">
      <c r="A327" s="25" t="s">
        <v>415</v>
      </c>
      <c r="B327" s="25" t="s">
        <v>416</v>
      </c>
      <c r="C327" s="40"/>
      <c r="D327" s="40"/>
      <c r="F327" s="40"/>
      <c r="H327" s="94"/>
      <c r="J327" s="40"/>
      <c r="K327" s="40"/>
      <c r="L327" s="40"/>
      <c r="M327" s="40"/>
    </row>
    <row r="328" spans="1:13">
      <c r="A328" s="40" t="s">
        <v>168</v>
      </c>
      <c r="B328" s="40" t="s">
        <v>168</v>
      </c>
      <c r="C328" s="40"/>
      <c r="D328" s="40"/>
      <c r="F328" s="40"/>
      <c r="H328" s="94"/>
      <c r="J328" s="40"/>
      <c r="K328" s="40"/>
      <c r="L328" s="40"/>
      <c r="M328" s="40"/>
    </row>
    <row r="329" spans="1:13">
      <c r="A329" s="40"/>
      <c r="B329" s="40"/>
      <c r="C329" s="40"/>
      <c r="D329" s="40"/>
      <c r="F329" s="40"/>
      <c r="H329" s="94"/>
      <c r="I329" s="40"/>
      <c r="J329" s="40"/>
      <c r="K329" s="40"/>
      <c r="L329" s="40"/>
      <c r="M329" s="40"/>
    </row>
    <row r="330" spans="1:13" s="116" customFormat="1" ht="37.5" customHeight="1">
      <c r="A330" s="117" t="s">
        <v>417</v>
      </c>
      <c r="B330" s="78"/>
      <c r="C330" s="78"/>
      <c r="D330" s="78"/>
      <c r="F330" s="119"/>
      <c r="H330" s="78"/>
      <c r="I330" s="78"/>
      <c r="J330" s="78"/>
      <c r="K330" s="78"/>
      <c r="L330" s="78"/>
      <c r="M330" s="78"/>
    </row>
    <row r="331" spans="1:13" ht="30">
      <c r="A331" s="25" t="s">
        <v>418</v>
      </c>
      <c r="B331" s="25" t="s">
        <v>419</v>
      </c>
      <c r="C331" s="25" t="s">
        <v>420</v>
      </c>
      <c r="D331" s="40"/>
      <c r="F331" s="40"/>
      <c r="H331" s="40"/>
      <c r="I331" s="40"/>
      <c r="J331" s="40"/>
      <c r="K331" s="40"/>
      <c r="L331" s="40"/>
      <c r="M331" s="40"/>
    </row>
    <row r="332" spans="1:13">
      <c r="A332" s="98" t="s">
        <v>421</v>
      </c>
      <c r="B332" s="40" t="s">
        <v>171</v>
      </c>
      <c r="C332" s="40" t="s">
        <v>422</v>
      </c>
      <c r="D332" s="40"/>
      <c r="F332" s="40"/>
      <c r="H332" s="40"/>
      <c r="I332" s="40"/>
      <c r="J332" s="40"/>
      <c r="K332" s="40"/>
      <c r="L332" s="40"/>
      <c r="M332" s="40"/>
    </row>
    <row r="333" spans="1:13" ht="28.5">
      <c r="A333" s="98" t="s">
        <v>423</v>
      </c>
      <c r="B333" s="40" t="s">
        <v>175</v>
      </c>
      <c r="C333" s="40" t="s">
        <v>424</v>
      </c>
      <c r="D333" s="40"/>
      <c r="F333" s="40"/>
      <c r="H333" s="40"/>
      <c r="I333" s="40"/>
      <c r="J333" s="40"/>
      <c r="K333" s="40"/>
      <c r="L333" s="40"/>
      <c r="M333" s="40"/>
    </row>
    <row r="334" spans="1:13" ht="42.75">
      <c r="A334" s="98" t="s">
        <v>425</v>
      </c>
      <c r="B334" s="40" t="s">
        <v>178</v>
      </c>
      <c r="C334" s="40" t="s">
        <v>426</v>
      </c>
      <c r="D334" s="40"/>
      <c r="F334" s="40"/>
      <c r="H334" s="40"/>
      <c r="I334" s="40"/>
      <c r="J334" s="40"/>
      <c r="K334" s="40"/>
      <c r="L334" s="40"/>
      <c r="M334" s="40"/>
    </row>
    <row r="335" spans="1:13" ht="28.5">
      <c r="A335" s="40" t="s">
        <v>427</v>
      </c>
      <c r="B335" s="40" t="s">
        <v>175</v>
      </c>
      <c r="C335" s="40" t="s">
        <v>424</v>
      </c>
      <c r="D335" s="40"/>
      <c r="F335" s="40"/>
      <c r="H335" s="40"/>
      <c r="I335" s="40"/>
      <c r="J335" s="40"/>
      <c r="K335" s="40"/>
      <c r="L335" s="40"/>
      <c r="M335" s="40"/>
    </row>
    <row r="336" spans="1:13" ht="28.5">
      <c r="A336" s="40" t="s">
        <v>428</v>
      </c>
      <c r="B336" s="40" t="s">
        <v>175</v>
      </c>
      <c r="C336" s="40" t="s">
        <v>424</v>
      </c>
      <c r="D336" s="40"/>
      <c r="F336" s="40"/>
      <c r="H336" s="40"/>
      <c r="I336" s="95"/>
      <c r="J336" s="40"/>
      <c r="K336" s="40"/>
      <c r="L336" s="40"/>
      <c r="M336" s="40"/>
    </row>
    <row r="337" spans="1:13" ht="28.5">
      <c r="A337" s="98" t="s">
        <v>429</v>
      </c>
      <c r="B337" s="40" t="s">
        <v>175</v>
      </c>
      <c r="C337" s="40" t="s">
        <v>424</v>
      </c>
      <c r="D337" s="40"/>
      <c r="F337" s="40"/>
      <c r="H337" s="40"/>
      <c r="I337" s="95"/>
      <c r="J337" s="40"/>
      <c r="K337" s="40"/>
      <c r="L337" s="40"/>
      <c r="M337" s="40"/>
    </row>
    <row r="338" spans="1:13">
      <c r="A338" s="40"/>
      <c r="B338" s="94"/>
      <c r="C338" s="40"/>
      <c r="D338" s="40"/>
      <c r="F338" s="40"/>
      <c r="H338" s="40"/>
      <c r="I338" s="95"/>
      <c r="J338" s="40"/>
      <c r="K338" s="40"/>
      <c r="L338" s="40"/>
      <c r="M338" s="40"/>
    </row>
    <row r="339" spans="1:13" s="116" customFormat="1" ht="37.5" customHeight="1">
      <c r="A339" s="117" t="s">
        <v>430</v>
      </c>
      <c r="B339" s="118"/>
      <c r="C339" s="78"/>
      <c r="D339" s="78"/>
      <c r="F339" s="78"/>
      <c r="H339" s="78"/>
      <c r="I339" s="120"/>
      <c r="J339" s="78"/>
      <c r="K339" s="78"/>
      <c r="L339" s="78"/>
      <c r="M339" s="78"/>
    </row>
    <row r="340" spans="1:13" ht="30">
      <c r="A340" s="61" t="s">
        <v>157</v>
      </c>
      <c r="B340" s="61" t="s">
        <v>416</v>
      </c>
      <c r="C340" s="40"/>
      <c r="D340" s="40"/>
      <c r="F340" s="40"/>
      <c r="H340" s="40"/>
      <c r="I340" s="40"/>
      <c r="J340" s="40"/>
      <c r="K340" s="40"/>
      <c r="L340" s="40"/>
      <c r="M340" s="40"/>
    </row>
    <row r="341" spans="1:13">
      <c r="A341" s="40" t="s">
        <v>431</v>
      </c>
      <c r="B341" s="94" t="b">
        <v>1</v>
      </c>
      <c r="C341" s="40"/>
      <c r="D341" s="40"/>
      <c r="F341" s="40"/>
      <c r="H341" s="40"/>
      <c r="I341" s="40"/>
      <c r="J341" s="40"/>
      <c r="K341" s="40"/>
      <c r="L341" s="40"/>
      <c r="M341" s="40"/>
    </row>
    <row r="342" spans="1:13">
      <c r="A342" s="40" t="s">
        <v>432</v>
      </c>
      <c r="B342" s="94" t="b">
        <v>0</v>
      </c>
      <c r="C342" s="40"/>
      <c r="D342" s="40"/>
      <c r="F342" s="40"/>
      <c r="H342" s="40"/>
      <c r="I342" s="40"/>
      <c r="J342" s="40"/>
      <c r="K342" s="40"/>
      <c r="L342" s="40"/>
      <c r="M342" s="40"/>
    </row>
    <row r="343" spans="1:13">
      <c r="A343" s="40"/>
      <c r="B343" s="94"/>
      <c r="C343" s="94"/>
      <c r="D343" s="40"/>
      <c r="F343" s="40"/>
    </row>
    <row r="344" spans="1:13" s="116" customFormat="1" ht="37.5" customHeight="1">
      <c r="A344" s="117" t="s">
        <v>433</v>
      </c>
      <c r="B344" s="118"/>
      <c r="C344" s="118"/>
      <c r="D344" s="78"/>
    </row>
    <row r="345" spans="1:13" ht="15">
      <c r="A345" s="61" t="s">
        <v>434</v>
      </c>
      <c r="D345" s="40"/>
    </row>
    <row r="346" spans="1:13">
      <c r="A346" s="40" t="s">
        <v>169</v>
      </c>
      <c r="D346" s="40"/>
      <c r="E346" s="40"/>
      <c r="F346" s="40"/>
      <c r="G346" s="94"/>
      <c r="H346" s="94"/>
    </row>
    <row r="347" spans="1:13">
      <c r="A347" s="40" t="s">
        <v>189</v>
      </c>
      <c r="D347" s="40"/>
      <c r="E347" s="40"/>
      <c r="F347" s="40"/>
      <c r="G347" s="94"/>
      <c r="H347" s="94"/>
    </row>
    <row r="348" spans="1:13">
      <c r="A348" s="40" t="s">
        <v>203</v>
      </c>
      <c r="D348" s="40"/>
      <c r="E348" s="40"/>
      <c r="F348" s="40"/>
      <c r="G348" s="94"/>
      <c r="H348" s="94"/>
    </row>
    <row r="349" spans="1:13">
      <c r="A349" s="40" t="s">
        <v>212</v>
      </c>
      <c r="D349" s="40"/>
      <c r="E349" s="40"/>
      <c r="F349" s="40"/>
      <c r="G349" s="94"/>
      <c r="H349" s="94"/>
    </row>
    <row r="350" spans="1:13">
      <c r="A350" s="40" t="s">
        <v>225</v>
      </c>
      <c r="D350" s="40"/>
      <c r="E350" s="40"/>
      <c r="F350" s="40"/>
      <c r="G350" s="94"/>
      <c r="H350" s="94"/>
    </row>
    <row r="351" spans="1:13">
      <c r="A351" s="40" t="s">
        <v>237</v>
      </c>
      <c r="D351" s="40"/>
      <c r="E351" s="40"/>
      <c r="F351" s="40"/>
      <c r="G351" s="94"/>
      <c r="H351" s="94"/>
    </row>
    <row r="352" spans="1:13">
      <c r="A352" s="40" t="s">
        <v>435</v>
      </c>
      <c r="D352" s="40"/>
      <c r="E352" s="40"/>
      <c r="F352" s="40"/>
      <c r="G352" s="94"/>
      <c r="H352" s="94"/>
    </row>
    <row r="353" spans="1:8">
      <c r="A353" s="40" t="s">
        <v>248</v>
      </c>
      <c r="D353" s="40"/>
      <c r="E353" s="40"/>
      <c r="F353" s="40"/>
      <c r="G353" s="94"/>
      <c r="H353" s="94"/>
    </row>
    <row r="354" spans="1:8">
      <c r="A354" s="40" t="s">
        <v>261</v>
      </c>
      <c r="D354" s="40"/>
      <c r="E354" s="40"/>
      <c r="F354" s="40"/>
      <c r="G354" s="94"/>
      <c r="H354" s="94"/>
    </row>
    <row r="355" spans="1:8">
      <c r="A355" s="95" t="s">
        <v>368</v>
      </c>
      <c r="D355" s="40"/>
      <c r="E355" s="40"/>
      <c r="F355" s="40"/>
      <c r="G355" s="94"/>
      <c r="H355" s="94"/>
    </row>
    <row r="356" spans="1:8">
      <c r="A356" s="95" t="s">
        <v>370</v>
      </c>
      <c r="D356" s="40"/>
      <c r="E356" s="40"/>
      <c r="F356" s="40"/>
      <c r="G356" s="94"/>
      <c r="H356" s="94"/>
    </row>
    <row r="357" spans="1:8">
      <c r="A357" s="95" t="s">
        <v>371</v>
      </c>
      <c r="D357" s="40"/>
      <c r="E357" s="40"/>
      <c r="F357" s="40"/>
      <c r="G357" s="94"/>
      <c r="H357" s="94"/>
    </row>
    <row r="358" spans="1:8">
      <c r="A358" s="95" t="s">
        <v>372</v>
      </c>
      <c r="D358" s="40"/>
      <c r="E358" s="40"/>
      <c r="F358" s="40"/>
      <c r="G358" s="94"/>
      <c r="H358" s="94"/>
    </row>
    <row r="359" spans="1:8">
      <c r="A359" s="40" t="s">
        <v>373</v>
      </c>
      <c r="D359" s="40"/>
      <c r="E359" s="40"/>
      <c r="F359" s="40"/>
      <c r="G359" s="94"/>
      <c r="H359" s="94"/>
    </row>
    <row r="360" spans="1:8">
      <c r="A360" s="40" t="s">
        <v>374</v>
      </c>
      <c r="D360" s="40"/>
      <c r="E360" s="40"/>
      <c r="F360" s="40"/>
      <c r="G360" s="94"/>
      <c r="H360" s="94"/>
    </row>
    <row r="361" spans="1:8">
      <c r="A361" s="40" t="s">
        <v>375</v>
      </c>
      <c r="D361" s="40"/>
      <c r="E361" s="40"/>
      <c r="F361" s="40"/>
      <c r="G361" s="94"/>
      <c r="H361" s="94"/>
    </row>
    <row r="362" spans="1:8">
      <c r="A362" s="92" t="s">
        <v>369</v>
      </c>
      <c r="D362" s="40"/>
      <c r="E362" s="40"/>
      <c r="F362" s="40"/>
      <c r="G362" s="94"/>
      <c r="H362" s="94"/>
    </row>
    <row r="364" spans="1:8" s="116" customFormat="1" ht="37.5" customHeight="1">
      <c r="A364" s="117" t="s">
        <v>436</v>
      </c>
    </row>
    <row r="365" spans="1:8" ht="15">
      <c r="A365" s="61" t="s">
        <v>437</v>
      </c>
    </row>
    <row r="366" spans="1:8">
      <c r="A366" s="40" t="s">
        <v>169</v>
      </c>
    </row>
    <row r="367" spans="1:8">
      <c r="A367" s="40" t="s">
        <v>189</v>
      </c>
    </row>
    <row r="368" spans="1:8">
      <c r="A368" s="40" t="s">
        <v>203</v>
      </c>
    </row>
    <row r="369" spans="1:1">
      <c r="A369" s="40" t="s">
        <v>212</v>
      </c>
    </row>
    <row r="370" spans="1:1">
      <c r="A370" s="40" t="s">
        <v>225</v>
      </c>
    </row>
    <row r="371" spans="1:1">
      <c r="A371" s="40" t="s">
        <v>237</v>
      </c>
    </row>
    <row r="372" spans="1:1">
      <c r="A372" s="40" t="s">
        <v>248</v>
      </c>
    </row>
    <row r="373" spans="1:1">
      <c r="A373" s="40" t="s">
        <v>261</v>
      </c>
    </row>
    <row r="374" spans="1:1">
      <c r="A374" s="95" t="s">
        <v>368</v>
      </c>
    </row>
    <row r="375" spans="1:1">
      <c r="A375" s="95" t="s">
        <v>370</v>
      </c>
    </row>
    <row r="376" spans="1:1">
      <c r="A376" s="95" t="s">
        <v>371</v>
      </c>
    </row>
    <row r="377" spans="1:1">
      <c r="A377" s="95" t="s">
        <v>372</v>
      </c>
    </row>
    <row r="378" spans="1:1">
      <c r="A378" s="40" t="s">
        <v>373</v>
      </c>
    </row>
    <row r="379" spans="1:1">
      <c r="A379" s="40" t="s">
        <v>374</v>
      </c>
    </row>
    <row r="380" spans="1:1">
      <c r="A380" s="40" t="s">
        <v>375</v>
      </c>
    </row>
    <row r="381" spans="1:1">
      <c r="A381" s="40" t="s">
        <v>369</v>
      </c>
    </row>
    <row r="383" spans="1:1" s="116" customFormat="1" ht="37.5" customHeight="1">
      <c r="A383" s="117" t="s">
        <v>438</v>
      </c>
    </row>
    <row r="384" spans="1:1" ht="15">
      <c r="A384" s="61" t="s">
        <v>439</v>
      </c>
    </row>
    <row r="385" spans="1:1">
      <c r="A385" s="40" t="e" cm="1" vm="1">
        <f t="array" ref="A385">_xlfn._xlws.SORT(_xlfn.UNIQUE(_xlfn._xlws.FILTER(Nutrients_from_future_land_use!$A$5:$A$21,Nutrients_from_future_land_use!$A$5:$A$21&lt;&gt;"")))</f>
        <v>#VALUE!</v>
      </c>
    </row>
  </sheetData>
  <sheetProtection algorithmName="SHA-512" hashValue="4jc0zGPRBsn2MQDG4lZLU9cgwtL48ZZ2UFR1kozv9c9A7sAjI3bPfmBKBLKxri0HIf/DhVPaKG/lf2jWGLPvPg==" saltValue="/tg4hjCjpvowrKzS9lTgig==" spinCount="100000" sheet="1" objects="1" scenarios="1"/>
  <phoneticPr fontId="9" type="noConversion"/>
  <dataValidations count="1">
    <dataValidation allowBlank="1" showInputMessage="1" showErrorMessage="1" prompt="This value is dependent on the rainfall volume." sqref="G296:H298 H292"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5" ma:contentTypeDescription="Create a new document." ma:contentTypeScope="" ma:versionID="9d5aac7d4c263efcb02f64726a175397">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e13de7b255ec8016b2d8e9e105a2f3ee"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Props1.xml><?xml version="1.0" encoding="utf-8"?>
<ds:datastoreItem xmlns:ds="http://schemas.openxmlformats.org/officeDocument/2006/customXml" ds:itemID="{A6870AF0-BC99-4EE0-9479-825860D2F995}"/>
</file>

<file path=customXml/itemProps2.xml><?xml version="1.0" encoding="utf-8"?>
<ds:datastoreItem xmlns:ds="http://schemas.openxmlformats.org/officeDocument/2006/customXml" ds:itemID="{64C1BBF9-9B3E-4827-BF16-821C5036B885}"/>
</file>

<file path=customXml/itemProps3.xml><?xml version="1.0" encoding="utf-8"?>
<ds:datastoreItem xmlns:ds="http://schemas.openxmlformats.org/officeDocument/2006/customXml" ds:itemID="{4E6A12FC-BB1B-4E54-B358-BBABDD5105C6}"/>
</file>

<file path=customXml/itemProps4.xml><?xml version="1.0" encoding="utf-8"?>
<ds:datastoreItem xmlns:ds="http://schemas.openxmlformats.org/officeDocument/2006/customXml" ds:itemID="{83A92143-61DF-433A-BA44-C1C2501345FD}"/>
</file>

<file path=customXml/itemProps5.xml><?xml version="1.0" encoding="utf-8"?>
<ds:datastoreItem xmlns:ds="http://schemas.openxmlformats.org/officeDocument/2006/customXml" ds:itemID="{1E56E9E6-356E-4C99-A5A6-5B7A73EA01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Thompson, Simon</cp:lastModifiedBy>
  <cp:revision/>
  <dcterms:created xsi:type="dcterms:W3CDTF">2021-10-14T13:24:34Z</dcterms:created>
  <dcterms:modified xsi:type="dcterms:W3CDTF">2024-01-25T19:35:05Z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ies>
</file>